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james\OneDrive\桌面\Yui Capital\Research\Public Equity\US\US.PINS\"/>
    </mc:Choice>
  </mc:AlternateContent>
  <xr:revisionPtr revIDLastSave="3290" documentId="11_AD4DBB64A54DDB1B405E38495D5E1EEB4E90DF22" xr6:coauthVersionLast="45" xr6:coauthVersionMax="45" xr10:uidLastSave="{9D9E57E9-82DD-48E5-A497-A0B4380602A7}"/>
  <bookViews>
    <workbookView xWindow="-28920" yWindow="-120" windowWidth="29040" windowHeight="15840" activeTab="2" xr2:uid="{00000000-000D-0000-FFFF-FFFF00000000}"/>
  </bookViews>
  <sheets>
    <sheet name="ASM &amp; Model" sheetId="1" r:id="rId1"/>
    <sheet name="Projection Visualization" sheetId="6" r:id="rId2"/>
    <sheet name="Valuation" sheetId="4" r:id="rId3"/>
    <sheet name="Data" sheetId="5" state="hidden" r:id="rId4"/>
    <sheet name="Comps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136" i="6" l="1"/>
  <c r="V136" i="6"/>
  <c r="W136" i="6"/>
  <c r="X136" i="6"/>
  <c r="Y136" i="6"/>
  <c r="Z136" i="6"/>
  <c r="AA136" i="6"/>
  <c r="AB136" i="6"/>
  <c r="AC136" i="6"/>
  <c r="AD136" i="6"/>
  <c r="AE136" i="6"/>
  <c r="T136" i="6"/>
  <c r="V90" i="6"/>
  <c r="W90" i="6"/>
  <c r="X90" i="6"/>
  <c r="Y90" i="6"/>
  <c r="Z90" i="6"/>
  <c r="AA90" i="6"/>
  <c r="AB90" i="6"/>
  <c r="AC90" i="6"/>
  <c r="AD90" i="6"/>
  <c r="AE90" i="6"/>
  <c r="AF90" i="6"/>
  <c r="AG90" i="6"/>
  <c r="AH90" i="6"/>
  <c r="V91" i="6"/>
  <c r="W91" i="6"/>
  <c r="X91" i="6"/>
  <c r="Y91" i="6"/>
  <c r="Z91" i="6"/>
  <c r="AA91" i="6"/>
  <c r="AB91" i="6"/>
  <c r="AC91" i="6"/>
  <c r="AD91" i="6"/>
  <c r="AE91" i="6"/>
  <c r="AF91" i="6"/>
  <c r="AG91" i="6"/>
  <c r="AH91" i="6"/>
  <c r="V92" i="6"/>
  <c r="W92" i="6"/>
  <c r="X92" i="6"/>
  <c r="Y92" i="6"/>
  <c r="Z92" i="6"/>
  <c r="AA92" i="6"/>
  <c r="AB92" i="6"/>
  <c r="AC92" i="6"/>
  <c r="AD92" i="6"/>
  <c r="AE92" i="6"/>
  <c r="AF92" i="6"/>
  <c r="AG92" i="6"/>
  <c r="AH92" i="6"/>
  <c r="V93" i="6"/>
  <c r="W93" i="6"/>
  <c r="X93" i="6"/>
  <c r="Y93" i="6"/>
  <c r="Z93" i="6"/>
  <c r="AA93" i="6"/>
  <c r="AB93" i="6"/>
  <c r="AC93" i="6"/>
  <c r="AD93" i="6"/>
  <c r="AE93" i="6"/>
  <c r="AF93" i="6"/>
  <c r="AG93" i="6"/>
  <c r="AH93" i="6"/>
  <c r="U93" i="6"/>
  <c r="U92" i="6"/>
  <c r="U91" i="6"/>
  <c r="U90" i="6"/>
  <c r="G60" i="4" l="1"/>
  <c r="E61" i="4"/>
  <c r="D61" i="4"/>
  <c r="H62" i="4"/>
  <c r="I62" i="4"/>
  <c r="G62" i="4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I24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I23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BB24" i="1"/>
  <c r="BC24" i="1"/>
  <c r="BD24" i="1"/>
  <c r="BE24" i="1"/>
  <c r="BF24" i="1"/>
  <c r="C24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D23" i="1"/>
  <c r="E23" i="1"/>
  <c r="F23" i="1"/>
  <c r="G23" i="1"/>
  <c r="H23" i="1"/>
  <c r="I23" i="1"/>
  <c r="J23" i="1"/>
  <c r="K23" i="1"/>
  <c r="C23" i="1"/>
  <c r="V48" i="6"/>
  <c r="V54" i="6" s="1"/>
  <c r="W48" i="6"/>
  <c r="X48" i="6"/>
  <c r="X54" i="6" s="1"/>
  <c r="Y48" i="6"/>
  <c r="Z48" i="6"/>
  <c r="AA48" i="6"/>
  <c r="AA54" i="6" s="1"/>
  <c r="AB48" i="6"/>
  <c r="AC48" i="6"/>
  <c r="AC54" i="6" s="1"/>
  <c r="AD48" i="6"/>
  <c r="AD54" i="6" s="1"/>
  <c r="AE48" i="6"/>
  <c r="AF48" i="6"/>
  <c r="AG48" i="6"/>
  <c r="AH48" i="6"/>
  <c r="U48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U47" i="6"/>
  <c r="U50" i="6" s="1"/>
  <c r="U46" i="6"/>
  <c r="U42" i="6"/>
  <c r="U41" i="6"/>
  <c r="U40" i="6"/>
  <c r="AA49" i="6" l="1"/>
  <c r="AB49" i="6"/>
  <c r="AH54" i="6"/>
  <c r="V50" i="6"/>
  <c r="AF54" i="6"/>
  <c r="U49" i="6"/>
  <c r="AE54" i="6"/>
  <c r="W54" i="6"/>
  <c r="AD53" i="6"/>
  <c r="AD50" i="6"/>
  <c r="AH52" i="6"/>
  <c r="AH49" i="6"/>
  <c r="AG52" i="6"/>
  <c r="AG49" i="6"/>
  <c r="AB53" i="6"/>
  <c r="AB50" i="6"/>
  <c r="Z53" i="6"/>
  <c r="Z50" i="6"/>
  <c r="W52" i="6"/>
  <c r="W49" i="6"/>
  <c r="Z52" i="6"/>
  <c r="Z49" i="6"/>
  <c r="Y52" i="6"/>
  <c r="Y49" i="6"/>
  <c r="X49" i="6"/>
  <c r="AG50" i="6"/>
  <c r="Y50" i="6"/>
  <c r="AD49" i="6"/>
  <c r="V49" i="6"/>
  <c r="X52" i="6"/>
  <c r="AC53" i="6"/>
  <c r="AC50" i="6"/>
  <c r="AF52" i="6"/>
  <c r="AF49" i="6"/>
  <c r="AH53" i="6"/>
  <c r="AH50" i="6"/>
  <c r="AE52" i="6"/>
  <c r="AE49" i="6"/>
  <c r="AF53" i="6"/>
  <c r="AF50" i="6"/>
  <c r="X53" i="6"/>
  <c r="X50" i="6"/>
  <c r="AC52" i="6"/>
  <c r="AC49" i="6"/>
  <c r="AA53" i="6"/>
  <c r="AA50" i="6"/>
  <c r="AE50" i="6"/>
  <c r="W50" i="6"/>
  <c r="Z54" i="6"/>
  <c r="AG53" i="6"/>
  <c r="Y53" i="6"/>
  <c r="AD52" i="6"/>
  <c r="V52" i="6"/>
  <c r="AB54" i="6"/>
  <c r="AE53" i="6"/>
  <c r="W53" i="6"/>
  <c r="AB52" i="6"/>
  <c r="V53" i="6"/>
  <c r="AA52" i="6"/>
  <c r="AG54" i="6"/>
  <c r="Y54" i="6"/>
  <c r="D51" i="4" l="1"/>
  <c r="G33" i="4"/>
  <c r="H33" i="4" s="1"/>
  <c r="I33" i="4" s="1"/>
  <c r="J33" i="4" s="1"/>
  <c r="K33" i="4" s="1"/>
  <c r="L33" i="4" s="1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B6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B7" i="4"/>
  <c r="D7" i="4"/>
  <c r="E7" i="4"/>
  <c r="F7" i="4"/>
  <c r="G7" i="4"/>
  <c r="H7" i="4"/>
  <c r="I7" i="4"/>
  <c r="J7" i="4"/>
  <c r="K7" i="4"/>
  <c r="L7" i="4"/>
  <c r="M7" i="4"/>
  <c r="N7" i="4"/>
  <c r="O7" i="4"/>
  <c r="P7" i="4"/>
  <c r="B8" i="4"/>
  <c r="C8" i="4"/>
  <c r="D8" i="4"/>
  <c r="E8" i="4"/>
  <c r="F8" i="4"/>
  <c r="G8" i="4"/>
  <c r="H8" i="4"/>
  <c r="I8" i="4"/>
  <c r="J8" i="4"/>
  <c r="K8" i="4"/>
  <c r="L8" i="4"/>
  <c r="M8" i="4"/>
  <c r="N8" i="4"/>
  <c r="O8" i="4"/>
  <c r="P8" i="4"/>
  <c r="B9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B10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B12" i="4"/>
  <c r="C12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B13" i="4"/>
  <c r="C13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B14" i="4"/>
  <c r="C14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B15" i="4"/>
  <c r="C15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B16" i="4"/>
  <c r="C16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B17" i="4"/>
  <c r="C17" i="4"/>
  <c r="D17" i="4"/>
  <c r="E17" i="4"/>
  <c r="F17" i="4"/>
  <c r="G17" i="4"/>
  <c r="H17" i="4"/>
  <c r="I17" i="4"/>
  <c r="J17" i="4"/>
  <c r="K17" i="4"/>
  <c r="L17" i="4"/>
  <c r="M17" i="4"/>
  <c r="N17" i="4"/>
  <c r="O17" i="4"/>
  <c r="P17" i="4"/>
  <c r="B18" i="4"/>
  <c r="C18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B19" i="4"/>
  <c r="C19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B20" i="4"/>
  <c r="B23" i="4"/>
  <c r="B24" i="4"/>
  <c r="B25" i="4"/>
  <c r="B26" i="4"/>
  <c r="C26" i="4"/>
  <c r="B27" i="4"/>
  <c r="B28" i="4"/>
  <c r="B29" i="4"/>
  <c r="B30" i="4"/>
  <c r="B31" i="4"/>
  <c r="B72" i="4"/>
  <c r="B73" i="4"/>
  <c r="B74" i="4"/>
  <c r="C74" i="4"/>
  <c r="B75" i="4"/>
  <c r="C75" i="4"/>
  <c r="B76" i="4"/>
  <c r="C76" i="4"/>
  <c r="B77" i="4"/>
  <c r="C77" i="4"/>
  <c r="B78" i="4"/>
  <c r="C78" i="4"/>
  <c r="B79" i="4"/>
  <c r="C79" i="4"/>
  <c r="B80" i="4"/>
  <c r="B81" i="4"/>
  <c r="C81" i="4"/>
  <c r="B82" i="4"/>
  <c r="C82" i="4"/>
  <c r="B83" i="4"/>
  <c r="C83" i="4"/>
  <c r="D83" i="4"/>
  <c r="B84" i="4"/>
  <c r="C84" i="4"/>
  <c r="B85" i="4"/>
  <c r="C85" i="4"/>
  <c r="B86" i="4"/>
  <c r="C86" i="4"/>
  <c r="D86" i="4"/>
  <c r="B87" i="4"/>
  <c r="C87" i="4"/>
  <c r="B88" i="4"/>
  <c r="C88" i="4"/>
  <c r="B89" i="4"/>
  <c r="C89" i="4"/>
  <c r="D89" i="4"/>
  <c r="B90" i="4"/>
  <c r="B91" i="4"/>
  <c r="B92" i="4"/>
  <c r="C92" i="4"/>
  <c r="B93" i="4"/>
  <c r="C93" i="4"/>
  <c r="B94" i="4"/>
  <c r="C94" i="4"/>
  <c r="B95" i="4"/>
  <c r="C95" i="4"/>
  <c r="B96" i="4"/>
  <c r="C96" i="4"/>
  <c r="B97" i="4"/>
  <c r="B98" i="4"/>
  <c r="C98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B33" i="4"/>
  <c r="B34" i="4"/>
  <c r="B35" i="4"/>
  <c r="B36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B37" i="4"/>
  <c r="B38" i="4"/>
  <c r="B39" i="4"/>
  <c r="B40" i="4"/>
  <c r="B41" i="4"/>
  <c r="B42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B43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B44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BK76" i="1"/>
  <c r="BL76" i="1"/>
  <c r="BM76" i="1"/>
  <c r="BN76" i="1"/>
  <c r="BO76" i="1"/>
  <c r="BP76" i="1"/>
  <c r="BQ76" i="1"/>
  <c r="BR76" i="1"/>
  <c r="BS76" i="1"/>
  <c r="BT76" i="1"/>
  <c r="BU76" i="1"/>
  <c r="BV76" i="1"/>
  <c r="BJ76" i="1"/>
  <c r="BV77" i="1"/>
  <c r="BU77" i="1"/>
  <c r="BT77" i="1"/>
  <c r="BS77" i="1"/>
  <c r="BR77" i="1"/>
  <c r="BQ77" i="1"/>
  <c r="BP77" i="1"/>
  <c r="BO77" i="1"/>
  <c r="BN77" i="1"/>
  <c r="BM77" i="1"/>
  <c r="BL77" i="1"/>
  <c r="BK77" i="1"/>
  <c r="BJ77" i="1"/>
  <c r="BI77" i="1"/>
  <c r="L75" i="1"/>
  <c r="K75" i="1"/>
  <c r="L74" i="1"/>
  <c r="K74" i="1"/>
  <c r="L73" i="1"/>
  <c r="K73" i="1"/>
  <c r="L76" i="1"/>
  <c r="K76" i="1"/>
  <c r="M76" i="1"/>
  <c r="D98" i="1"/>
  <c r="E98" i="1"/>
  <c r="F98" i="1"/>
  <c r="G98" i="1"/>
  <c r="H98" i="1"/>
  <c r="I98" i="1"/>
  <c r="J98" i="1"/>
  <c r="K98" i="1"/>
  <c r="L98" i="1"/>
  <c r="D99" i="1"/>
  <c r="E99" i="1"/>
  <c r="F99" i="1"/>
  <c r="G99" i="1"/>
  <c r="H99" i="1"/>
  <c r="I99" i="1"/>
  <c r="J99" i="1"/>
  <c r="K99" i="1"/>
  <c r="L99" i="1"/>
  <c r="C99" i="1"/>
  <c r="C98" i="1"/>
  <c r="BJ91" i="1"/>
  <c r="BJ90" i="1" s="1"/>
  <c r="BK91" i="1"/>
  <c r="BK90" i="1" s="1"/>
  <c r="BL91" i="1"/>
  <c r="BL90" i="1" s="1"/>
  <c r="BM91" i="1"/>
  <c r="BM90" i="1" s="1"/>
  <c r="BN91" i="1"/>
  <c r="BN90" i="1" s="1"/>
  <c r="BO91" i="1"/>
  <c r="BO90" i="1" s="1"/>
  <c r="BP91" i="1"/>
  <c r="BP90" i="1" s="1"/>
  <c r="BQ91" i="1"/>
  <c r="BQ90" i="1" s="1"/>
  <c r="BR91" i="1"/>
  <c r="BR90" i="1" s="1"/>
  <c r="BS91" i="1"/>
  <c r="BS90" i="1" s="1"/>
  <c r="BT91" i="1"/>
  <c r="BT90" i="1" s="1"/>
  <c r="BU91" i="1"/>
  <c r="BU90" i="1" s="1"/>
  <c r="BV91" i="1"/>
  <c r="BV90" i="1" s="1"/>
  <c r="BI91" i="1"/>
  <c r="BI90" i="1" s="1"/>
  <c r="BJ122" i="1"/>
  <c r="BK122" i="1"/>
  <c r="BL122" i="1"/>
  <c r="BM122" i="1"/>
  <c r="BN122" i="1"/>
  <c r="BO122" i="1"/>
  <c r="BP122" i="1"/>
  <c r="BQ122" i="1"/>
  <c r="BR122" i="1"/>
  <c r="BS122" i="1"/>
  <c r="BT122" i="1"/>
  <c r="BU122" i="1"/>
  <c r="BV122" i="1"/>
  <c r="BJ123" i="1"/>
  <c r="BK123" i="1"/>
  <c r="BL123" i="1"/>
  <c r="BM123" i="1"/>
  <c r="BN123" i="1"/>
  <c r="BO123" i="1"/>
  <c r="BP123" i="1"/>
  <c r="BQ123" i="1"/>
  <c r="BR123" i="1"/>
  <c r="BS123" i="1"/>
  <c r="BT123" i="1"/>
  <c r="BU123" i="1"/>
  <c r="BV123" i="1"/>
  <c r="BJ124" i="1"/>
  <c r="BK124" i="1"/>
  <c r="BL124" i="1"/>
  <c r="BM124" i="1"/>
  <c r="BN124" i="1"/>
  <c r="BO124" i="1"/>
  <c r="BP124" i="1"/>
  <c r="BQ124" i="1"/>
  <c r="BR124" i="1"/>
  <c r="BS124" i="1"/>
  <c r="BT124" i="1"/>
  <c r="BU124" i="1"/>
  <c r="BV124" i="1"/>
  <c r="BJ125" i="1"/>
  <c r="BK125" i="1"/>
  <c r="BL125" i="1"/>
  <c r="BM125" i="1"/>
  <c r="BN125" i="1"/>
  <c r="BO125" i="1"/>
  <c r="BP125" i="1"/>
  <c r="BQ125" i="1"/>
  <c r="BR125" i="1"/>
  <c r="BS125" i="1"/>
  <c r="BT125" i="1"/>
  <c r="BU125" i="1"/>
  <c r="BV125" i="1"/>
  <c r="BJ119" i="1"/>
  <c r="BK119" i="1"/>
  <c r="BL119" i="1"/>
  <c r="BM119" i="1"/>
  <c r="BN119" i="1"/>
  <c r="BO119" i="1"/>
  <c r="BP119" i="1"/>
  <c r="BQ119" i="1"/>
  <c r="BR119" i="1"/>
  <c r="BS119" i="1"/>
  <c r="BT119" i="1"/>
  <c r="BU119" i="1"/>
  <c r="BV119" i="1"/>
  <c r="BJ120" i="1"/>
  <c r="BK120" i="1"/>
  <c r="BL120" i="1"/>
  <c r="BM120" i="1"/>
  <c r="BN120" i="1"/>
  <c r="BO120" i="1"/>
  <c r="BP120" i="1"/>
  <c r="BQ120" i="1"/>
  <c r="BR120" i="1"/>
  <c r="BS120" i="1"/>
  <c r="BT120" i="1"/>
  <c r="BU120" i="1"/>
  <c r="BV120" i="1"/>
  <c r="BI125" i="1"/>
  <c r="BI124" i="1"/>
  <c r="BI123" i="1"/>
  <c r="BI122" i="1"/>
  <c r="BI120" i="1"/>
  <c r="BI119" i="1"/>
  <c r="BJ121" i="1"/>
  <c r="BK121" i="1"/>
  <c r="BL121" i="1"/>
  <c r="BM121" i="1"/>
  <c r="BN121" i="1"/>
  <c r="BO121" i="1"/>
  <c r="BP121" i="1"/>
  <c r="BQ121" i="1"/>
  <c r="BR121" i="1"/>
  <c r="BS121" i="1"/>
  <c r="BT121" i="1"/>
  <c r="BU121" i="1"/>
  <c r="BV121" i="1"/>
  <c r="BI121" i="1"/>
  <c r="BJ128" i="1"/>
  <c r="BK128" i="1"/>
  <c r="BL128" i="1"/>
  <c r="BM128" i="1"/>
  <c r="BN128" i="1"/>
  <c r="BO128" i="1"/>
  <c r="BP128" i="1"/>
  <c r="BQ128" i="1"/>
  <c r="BR128" i="1"/>
  <c r="BS128" i="1"/>
  <c r="BT128" i="1"/>
  <c r="BU128" i="1"/>
  <c r="BV128" i="1"/>
  <c r="BJ129" i="1"/>
  <c r="BK129" i="1"/>
  <c r="BL129" i="1"/>
  <c r="BM129" i="1"/>
  <c r="BN129" i="1"/>
  <c r="BO129" i="1"/>
  <c r="BP129" i="1"/>
  <c r="BQ129" i="1"/>
  <c r="BR129" i="1"/>
  <c r="BS129" i="1"/>
  <c r="BT129" i="1"/>
  <c r="BU129" i="1"/>
  <c r="BV129" i="1"/>
  <c r="BJ130" i="1"/>
  <c r="BK130" i="1"/>
  <c r="BL130" i="1"/>
  <c r="BM130" i="1"/>
  <c r="BN130" i="1"/>
  <c r="BO130" i="1"/>
  <c r="BP130" i="1"/>
  <c r="BQ130" i="1"/>
  <c r="BR130" i="1"/>
  <c r="BS130" i="1"/>
  <c r="BT130" i="1"/>
  <c r="BU130" i="1"/>
  <c r="BV130" i="1"/>
  <c r="BJ131" i="1"/>
  <c r="BK131" i="1"/>
  <c r="BL131" i="1"/>
  <c r="BM131" i="1"/>
  <c r="BN131" i="1"/>
  <c r="BO131" i="1"/>
  <c r="BP131" i="1"/>
  <c r="BQ131" i="1"/>
  <c r="BR131" i="1"/>
  <c r="BS131" i="1"/>
  <c r="BT131" i="1"/>
  <c r="BU131" i="1"/>
  <c r="BV131" i="1"/>
  <c r="BJ132" i="1"/>
  <c r="BK132" i="1"/>
  <c r="BL132" i="1"/>
  <c r="BM132" i="1"/>
  <c r="BN132" i="1"/>
  <c r="BO132" i="1"/>
  <c r="BP132" i="1"/>
  <c r="BQ132" i="1"/>
  <c r="BR132" i="1"/>
  <c r="BS132" i="1"/>
  <c r="BT132" i="1"/>
  <c r="BU132" i="1"/>
  <c r="BV132" i="1"/>
  <c r="BI132" i="1"/>
  <c r="BI131" i="1"/>
  <c r="BI130" i="1"/>
  <c r="BI129" i="1"/>
  <c r="BI128" i="1"/>
  <c r="BJ111" i="1"/>
  <c r="BK111" i="1"/>
  <c r="BL111" i="1"/>
  <c r="BM111" i="1"/>
  <c r="BN111" i="1"/>
  <c r="BO111" i="1"/>
  <c r="BP111" i="1"/>
  <c r="BQ111" i="1"/>
  <c r="BR111" i="1"/>
  <c r="BS111" i="1"/>
  <c r="BT111" i="1"/>
  <c r="BU111" i="1"/>
  <c r="BV111" i="1"/>
  <c r="BI111" i="1"/>
  <c r="BJ110" i="1"/>
  <c r="BK110" i="1"/>
  <c r="BL110" i="1"/>
  <c r="BM110" i="1"/>
  <c r="BN110" i="1"/>
  <c r="BO110" i="1"/>
  <c r="BP110" i="1"/>
  <c r="BQ110" i="1"/>
  <c r="BR110" i="1"/>
  <c r="BS110" i="1"/>
  <c r="BT110" i="1"/>
  <c r="BU110" i="1"/>
  <c r="BV110" i="1"/>
  <c r="BJ112" i="1"/>
  <c r="BK112" i="1"/>
  <c r="BK113" i="1" s="1"/>
  <c r="BL112" i="1"/>
  <c r="BM112" i="1"/>
  <c r="BN112" i="1"/>
  <c r="BN113" i="1" s="1"/>
  <c r="BO112" i="1"/>
  <c r="BP112" i="1"/>
  <c r="BQ112" i="1"/>
  <c r="BQ113" i="1" s="1"/>
  <c r="BR112" i="1"/>
  <c r="BR113" i="1" s="1"/>
  <c r="BS112" i="1"/>
  <c r="BS113" i="1" s="1"/>
  <c r="BT112" i="1"/>
  <c r="BU112" i="1"/>
  <c r="BV112" i="1"/>
  <c r="BV113" i="1" s="1"/>
  <c r="BJ113" i="1"/>
  <c r="BL113" i="1"/>
  <c r="BM113" i="1"/>
  <c r="BO113" i="1"/>
  <c r="BP113" i="1"/>
  <c r="BT113" i="1"/>
  <c r="BU113" i="1"/>
  <c r="BJ114" i="1"/>
  <c r="BK114" i="1"/>
  <c r="BL114" i="1"/>
  <c r="BL115" i="1" s="1"/>
  <c r="BM114" i="1"/>
  <c r="BN114" i="1"/>
  <c r="BO114" i="1"/>
  <c r="BO115" i="1" s="1"/>
  <c r="BP114" i="1"/>
  <c r="BQ114" i="1"/>
  <c r="BQ115" i="1" s="1"/>
  <c r="BR114" i="1"/>
  <c r="BS114" i="1"/>
  <c r="BS115" i="1" s="1"/>
  <c r="BT114" i="1"/>
  <c r="BT115" i="1" s="1"/>
  <c r="BU114" i="1"/>
  <c r="BU115" i="1" s="1"/>
  <c r="BV114" i="1"/>
  <c r="BJ115" i="1"/>
  <c r="BK115" i="1"/>
  <c r="BM115" i="1"/>
  <c r="BN115" i="1"/>
  <c r="BP115" i="1"/>
  <c r="BR115" i="1"/>
  <c r="BV115" i="1"/>
  <c r="BJ116" i="1"/>
  <c r="BJ117" i="1" s="1"/>
  <c r="BK116" i="1"/>
  <c r="BL116" i="1"/>
  <c r="BL117" i="1" s="1"/>
  <c r="BM116" i="1"/>
  <c r="BM117" i="1" s="1"/>
  <c r="BN116" i="1"/>
  <c r="BO116" i="1"/>
  <c r="BP116" i="1"/>
  <c r="BQ116" i="1"/>
  <c r="BR116" i="1"/>
  <c r="BR117" i="1" s="1"/>
  <c r="BS116" i="1"/>
  <c r="BT116" i="1"/>
  <c r="BT117" i="1" s="1"/>
  <c r="BU116" i="1"/>
  <c r="BU117" i="1" s="1"/>
  <c r="BV116" i="1"/>
  <c r="BK117" i="1"/>
  <c r="BN117" i="1"/>
  <c r="BO117" i="1"/>
  <c r="BP117" i="1"/>
  <c r="BQ117" i="1"/>
  <c r="BS117" i="1"/>
  <c r="BV117" i="1"/>
  <c r="BI117" i="1"/>
  <c r="BI115" i="1"/>
  <c r="BI113" i="1"/>
  <c r="BJ102" i="1"/>
  <c r="BK102" i="1"/>
  <c r="BK103" i="1" s="1"/>
  <c r="BL102" i="1"/>
  <c r="BM102" i="1"/>
  <c r="BN102" i="1"/>
  <c r="BO102" i="1"/>
  <c r="BP102" i="1"/>
  <c r="BQ102" i="1"/>
  <c r="BQ103" i="1" s="1"/>
  <c r="BR102" i="1"/>
  <c r="BR103" i="1" s="1"/>
  <c r="BS102" i="1"/>
  <c r="BS103" i="1" s="1"/>
  <c r="BT102" i="1"/>
  <c r="BU102" i="1"/>
  <c r="BV102" i="1"/>
  <c r="BV103" i="1" s="1"/>
  <c r="BJ103" i="1"/>
  <c r="BL103" i="1"/>
  <c r="BM103" i="1"/>
  <c r="BN103" i="1"/>
  <c r="BO103" i="1"/>
  <c r="BP103" i="1"/>
  <c r="BT103" i="1"/>
  <c r="BU103" i="1"/>
  <c r="BJ104" i="1"/>
  <c r="BK104" i="1"/>
  <c r="BL104" i="1"/>
  <c r="BL105" i="1" s="1"/>
  <c r="BM104" i="1"/>
  <c r="BN104" i="1"/>
  <c r="BO104" i="1"/>
  <c r="BO105" i="1" s="1"/>
  <c r="BP104" i="1"/>
  <c r="BQ104" i="1"/>
  <c r="BQ105" i="1" s="1"/>
  <c r="BR104" i="1"/>
  <c r="BS104" i="1"/>
  <c r="BT104" i="1"/>
  <c r="BT105" i="1" s="1"/>
  <c r="BU104" i="1"/>
  <c r="BV104" i="1"/>
  <c r="BJ105" i="1"/>
  <c r="BK105" i="1"/>
  <c r="BM105" i="1"/>
  <c r="BN105" i="1"/>
  <c r="BP105" i="1"/>
  <c r="BR105" i="1"/>
  <c r="BS105" i="1"/>
  <c r="BU105" i="1"/>
  <c r="BV105" i="1"/>
  <c r="BJ106" i="1"/>
  <c r="BK106" i="1"/>
  <c r="BL106" i="1"/>
  <c r="BM106" i="1"/>
  <c r="BM107" i="1" s="1"/>
  <c r="BN106" i="1"/>
  <c r="BO106" i="1"/>
  <c r="BO107" i="1" s="1"/>
  <c r="BP106" i="1"/>
  <c r="BQ106" i="1"/>
  <c r="BR106" i="1"/>
  <c r="BS106" i="1"/>
  <c r="BS107" i="1" s="1"/>
  <c r="BT106" i="1"/>
  <c r="BT107" i="1" s="1"/>
  <c r="BU106" i="1"/>
  <c r="BU107" i="1" s="1"/>
  <c r="BV106" i="1"/>
  <c r="BJ107" i="1"/>
  <c r="BK107" i="1"/>
  <c r="BL107" i="1"/>
  <c r="BN107" i="1"/>
  <c r="BP107" i="1"/>
  <c r="BQ107" i="1"/>
  <c r="BR107" i="1"/>
  <c r="BV107" i="1"/>
  <c r="BI107" i="1"/>
  <c r="BI105" i="1"/>
  <c r="BI103" i="1"/>
  <c r="BI116" i="1"/>
  <c r="BI114" i="1"/>
  <c r="BI112" i="1"/>
  <c r="BI110" i="1"/>
  <c r="BI106" i="1"/>
  <c r="BI104" i="1"/>
  <c r="BI102" i="1"/>
  <c r="BJ96" i="1"/>
  <c r="BJ97" i="1" s="1"/>
  <c r="BK96" i="1"/>
  <c r="BK97" i="1" s="1"/>
  <c r="BL96" i="1"/>
  <c r="BL97" i="1" s="1"/>
  <c r="BM96" i="1"/>
  <c r="BM97" i="1" s="1"/>
  <c r="BN96" i="1"/>
  <c r="BN97" i="1" s="1"/>
  <c r="BO96" i="1"/>
  <c r="BO97" i="1" s="1"/>
  <c r="BP96" i="1"/>
  <c r="BP97" i="1" s="1"/>
  <c r="BQ96" i="1"/>
  <c r="BQ97" i="1" s="1"/>
  <c r="BR96" i="1"/>
  <c r="BR97" i="1" s="1"/>
  <c r="BS96" i="1"/>
  <c r="BS97" i="1" s="1"/>
  <c r="BT96" i="1"/>
  <c r="BT97" i="1" s="1"/>
  <c r="BU96" i="1"/>
  <c r="BU97" i="1" s="1"/>
  <c r="BV96" i="1"/>
  <c r="BV97" i="1" s="1"/>
  <c r="BI96" i="1"/>
  <c r="BI97" i="1" s="1"/>
  <c r="BK88" i="1"/>
  <c r="BL88" i="1"/>
  <c r="BM88" i="1"/>
  <c r="BN88" i="1"/>
  <c r="BO88" i="1"/>
  <c r="BP88" i="1"/>
  <c r="BQ88" i="1"/>
  <c r="BR88" i="1"/>
  <c r="BS88" i="1"/>
  <c r="BT88" i="1"/>
  <c r="BU88" i="1"/>
  <c r="BV88" i="1"/>
  <c r="BK85" i="1"/>
  <c r="BL85" i="1"/>
  <c r="BM85" i="1"/>
  <c r="BN85" i="1"/>
  <c r="BO85" i="1"/>
  <c r="BP85" i="1"/>
  <c r="BQ85" i="1"/>
  <c r="BR85" i="1"/>
  <c r="BS85" i="1"/>
  <c r="BT85" i="1"/>
  <c r="BU85" i="1"/>
  <c r="BV85" i="1"/>
  <c r="BK82" i="1"/>
  <c r="BL82" i="1"/>
  <c r="BM82" i="1"/>
  <c r="BN82" i="1"/>
  <c r="BO82" i="1"/>
  <c r="BP82" i="1"/>
  <c r="BQ82" i="1"/>
  <c r="BR82" i="1"/>
  <c r="BS82" i="1"/>
  <c r="BT82" i="1"/>
  <c r="BU82" i="1"/>
  <c r="BV82" i="1"/>
  <c r="BJ88" i="1"/>
  <c r="BJ85" i="1"/>
  <c r="BJ82" i="1"/>
  <c r="BS66" i="1"/>
  <c r="BT66" i="1"/>
  <c r="BU66" i="1"/>
  <c r="BV66" i="1"/>
  <c r="BN66" i="1"/>
  <c r="BO66" i="1"/>
  <c r="BP66" i="1"/>
  <c r="BQ66" i="1"/>
  <c r="BR66" i="1"/>
  <c r="BL66" i="1"/>
  <c r="BM66" i="1"/>
  <c r="BK66" i="1"/>
  <c r="BJ66" i="1"/>
  <c r="BI66" i="1"/>
  <c r="BI64" i="1"/>
  <c r="BI63" i="1"/>
  <c r="BI62" i="1"/>
  <c r="BI61" i="1"/>
  <c r="BI60" i="1"/>
  <c r="BI54" i="1"/>
  <c r="BI50" i="1"/>
  <c r="BI46" i="1"/>
  <c r="BV86" i="1"/>
  <c r="BU86" i="1"/>
  <c r="BT86" i="1"/>
  <c r="BS86" i="1"/>
  <c r="BR86" i="1"/>
  <c r="BQ86" i="1"/>
  <c r="BP86" i="1"/>
  <c r="BO86" i="1"/>
  <c r="BN86" i="1"/>
  <c r="BM86" i="1"/>
  <c r="BL86" i="1"/>
  <c r="BK86" i="1"/>
  <c r="BJ86" i="1"/>
  <c r="BI86" i="1"/>
  <c r="BV83" i="1"/>
  <c r="BU83" i="1"/>
  <c r="BT83" i="1"/>
  <c r="BS83" i="1"/>
  <c r="BR83" i="1"/>
  <c r="BQ83" i="1"/>
  <c r="BP83" i="1"/>
  <c r="BO83" i="1"/>
  <c r="BN83" i="1"/>
  <c r="BM83" i="1"/>
  <c r="BL83" i="1"/>
  <c r="BK83" i="1"/>
  <c r="BJ83" i="1"/>
  <c r="BI83" i="1"/>
  <c r="BV80" i="1"/>
  <c r="BU80" i="1"/>
  <c r="BT80" i="1"/>
  <c r="BS80" i="1"/>
  <c r="BR80" i="1"/>
  <c r="BQ80" i="1"/>
  <c r="BP80" i="1"/>
  <c r="BO80" i="1"/>
  <c r="BN80" i="1"/>
  <c r="BM80" i="1"/>
  <c r="BL80" i="1"/>
  <c r="BK80" i="1"/>
  <c r="BJ80" i="1"/>
  <c r="BI80" i="1"/>
  <c r="E66" i="4" l="1"/>
  <c r="D66" i="4"/>
  <c r="D67" i="4"/>
  <c r="E67" i="4"/>
  <c r="E56" i="4"/>
  <c r="D56" i="4"/>
  <c r="M33" i="4"/>
  <c r="N33" i="4" s="1"/>
  <c r="O33" i="4" s="1"/>
  <c r="P33" i="4" s="1"/>
  <c r="BL75" i="1"/>
  <c r="BM75" i="1"/>
  <c r="BN75" i="1"/>
  <c r="BO75" i="1"/>
  <c r="BP75" i="1"/>
  <c r="BQ75" i="1"/>
  <c r="BR75" i="1"/>
  <c r="BS75" i="1"/>
  <c r="BT75" i="1"/>
  <c r="BU75" i="1"/>
  <c r="BV75" i="1"/>
  <c r="Z7" i="6"/>
  <c r="AA7" i="6"/>
  <c r="AH7" i="6"/>
  <c r="V8" i="6"/>
  <c r="AD8" i="6"/>
  <c r="U8" i="6"/>
  <c r="U12" i="6" s="1"/>
  <c r="U7" i="6"/>
  <c r="U11" i="6" s="1"/>
  <c r="BJ75" i="1"/>
  <c r="BI75" i="1"/>
  <c r="BV74" i="1"/>
  <c r="BU74" i="1"/>
  <c r="BT74" i="1"/>
  <c r="BS74" i="1"/>
  <c r="BR74" i="1"/>
  <c r="BQ74" i="1"/>
  <c r="BP74" i="1"/>
  <c r="BO74" i="1"/>
  <c r="BN74" i="1"/>
  <c r="BM74" i="1"/>
  <c r="BL74" i="1"/>
  <c r="BK74" i="1"/>
  <c r="BJ74" i="1"/>
  <c r="BJ94" i="1" s="1"/>
  <c r="BJ95" i="1" s="1"/>
  <c r="BI74" i="1"/>
  <c r="BI94" i="1" s="1"/>
  <c r="BI95" i="1" s="1"/>
  <c r="BV73" i="1"/>
  <c r="P39" i="4" s="1"/>
  <c r="BU73" i="1"/>
  <c r="O39" i="4" s="1"/>
  <c r="BT73" i="1"/>
  <c r="N39" i="4" s="1"/>
  <c r="BS73" i="1"/>
  <c r="M39" i="4" s="1"/>
  <c r="BR73" i="1"/>
  <c r="L39" i="4" s="1"/>
  <c r="BQ73" i="1"/>
  <c r="K39" i="4" s="1"/>
  <c r="BP73" i="1"/>
  <c r="J39" i="4" s="1"/>
  <c r="BO73" i="1"/>
  <c r="I39" i="4" s="1"/>
  <c r="BN73" i="1"/>
  <c r="H39" i="4" s="1"/>
  <c r="BM73" i="1"/>
  <c r="G39" i="4" s="1"/>
  <c r="BL73" i="1"/>
  <c r="F39" i="4" s="1"/>
  <c r="BJ73" i="1"/>
  <c r="BI73" i="1"/>
  <c r="BV72" i="1"/>
  <c r="P38" i="4" s="1"/>
  <c r="BU72" i="1"/>
  <c r="O38" i="4" s="1"/>
  <c r="BT72" i="1"/>
  <c r="N38" i="4" s="1"/>
  <c r="BS72" i="1"/>
  <c r="M38" i="4" s="1"/>
  <c r="BR72" i="1"/>
  <c r="L38" i="4" s="1"/>
  <c r="BQ72" i="1"/>
  <c r="K38" i="4" s="1"/>
  <c r="BP72" i="1"/>
  <c r="J38" i="4" s="1"/>
  <c r="BO72" i="1"/>
  <c r="I38" i="4" s="1"/>
  <c r="BN72" i="1"/>
  <c r="H38" i="4" s="1"/>
  <c r="BM72" i="1"/>
  <c r="G38" i="4" s="1"/>
  <c r="BL72" i="1"/>
  <c r="F38" i="4" s="1"/>
  <c r="BK72" i="1"/>
  <c r="E38" i="4" s="1"/>
  <c r="BJ72" i="1"/>
  <c r="D38" i="4" s="1"/>
  <c r="BI72" i="1"/>
  <c r="C38" i="4" s="1"/>
  <c r="BV71" i="1"/>
  <c r="P37" i="4" s="1"/>
  <c r="BU71" i="1"/>
  <c r="O37" i="4" s="1"/>
  <c r="BT71" i="1"/>
  <c r="N37" i="4" s="1"/>
  <c r="BS71" i="1"/>
  <c r="M37" i="4" s="1"/>
  <c r="BR71" i="1"/>
  <c r="L37" i="4" s="1"/>
  <c r="BQ71" i="1"/>
  <c r="K37" i="4" s="1"/>
  <c r="BP71" i="1"/>
  <c r="J37" i="4" s="1"/>
  <c r="BO71" i="1"/>
  <c r="I37" i="4" s="1"/>
  <c r="BN71" i="1"/>
  <c r="H37" i="4" s="1"/>
  <c r="BM71" i="1"/>
  <c r="G37" i="4" s="1"/>
  <c r="BL71" i="1"/>
  <c r="F37" i="4" s="1"/>
  <c r="BK71" i="1"/>
  <c r="E37" i="4" s="1"/>
  <c r="BJ71" i="1"/>
  <c r="D37" i="4" s="1"/>
  <c r="BI71" i="1"/>
  <c r="C37" i="4" s="1"/>
  <c r="BV69" i="1"/>
  <c r="P35" i="4" s="1"/>
  <c r="BU69" i="1"/>
  <c r="O35" i="4" s="1"/>
  <c r="BT69" i="1"/>
  <c r="N35" i="4" s="1"/>
  <c r="BS69" i="1"/>
  <c r="M35" i="4" s="1"/>
  <c r="BR69" i="1"/>
  <c r="L35" i="4" s="1"/>
  <c r="BQ69" i="1"/>
  <c r="K35" i="4" s="1"/>
  <c r="BP69" i="1"/>
  <c r="J35" i="4" s="1"/>
  <c r="BO69" i="1"/>
  <c r="I35" i="4" s="1"/>
  <c r="BN69" i="1"/>
  <c r="H35" i="4" s="1"/>
  <c r="BM69" i="1"/>
  <c r="G35" i="4" s="1"/>
  <c r="BL69" i="1"/>
  <c r="F35" i="4" s="1"/>
  <c r="BK69" i="1"/>
  <c r="E35" i="4" s="1"/>
  <c r="BJ69" i="1"/>
  <c r="D35" i="4" s="1"/>
  <c r="BI69" i="1"/>
  <c r="C35" i="4" s="1"/>
  <c r="BV68" i="1"/>
  <c r="P34" i="4" s="1"/>
  <c r="BU68" i="1"/>
  <c r="O34" i="4" s="1"/>
  <c r="BT68" i="1"/>
  <c r="N34" i="4" s="1"/>
  <c r="BS68" i="1"/>
  <c r="M34" i="4" s="1"/>
  <c r="BR68" i="1"/>
  <c r="L34" i="4" s="1"/>
  <c r="BQ68" i="1"/>
  <c r="K34" i="4" s="1"/>
  <c r="BP68" i="1"/>
  <c r="J34" i="4" s="1"/>
  <c r="BO68" i="1"/>
  <c r="I34" i="4" s="1"/>
  <c r="BN68" i="1"/>
  <c r="H34" i="4" s="1"/>
  <c r="BM68" i="1"/>
  <c r="G34" i="4" s="1"/>
  <c r="BL68" i="1"/>
  <c r="F34" i="4" s="1"/>
  <c r="BK68" i="1"/>
  <c r="E34" i="4" s="1"/>
  <c r="BJ68" i="1"/>
  <c r="D34" i="4" s="1"/>
  <c r="BI68" i="1"/>
  <c r="C34" i="4" s="1"/>
  <c r="BM44" i="1"/>
  <c r="G79" i="4" s="1"/>
  <c r="BN44" i="1"/>
  <c r="H79" i="4" s="1"/>
  <c r="BU44" i="1"/>
  <c r="O79" i="4" s="1"/>
  <c r="BV44" i="1"/>
  <c r="P79" i="4" s="1"/>
  <c r="BJ44" i="1"/>
  <c r="D79" i="4" s="1"/>
  <c r="BV42" i="1"/>
  <c r="BU42" i="1"/>
  <c r="BT42" i="1"/>
  <c r="BT44" i="1" s="1"/>
  <c r="N79" i="4" s="1"/>
  <c r="BS42" i="1"/>
  <c r="BR42" i="1"/>
  <c r="BQ42" i="1"/>
  <c r="BP42" i="1"/>
  <c r="BO42" i="1"/>
  <c r="BN42" i="1"/>
  <c r="BM42" i="1"/>
  <c r="BL42" i="1"/>
  <c r="BL44" i="1" s="1"/>
  <c r="F79" i="4" s="1"/>
  <c r="BK42" i="1"/>
  <c r="BJ42" i="1"/>
  <c r="BI42" i="1"/>
  <c r="BV41" i="1"/>
  <c r="P77" i="4" s="1"/>
  <c r="BU41" i="1"/>
  <c r="O77" i="4" s="1"/>
  <c r="BT41" i="1"/>
  <c r="N77" i="4" s="1"/>
  <c r="BS41" i="1"/>
  <c r="M77" i="4" s="1"/>
  <c r="BR41" i="1"/>
  <c r="L77" i="4" s="1"/>
  <c r="BQ41" i="1"/>
  <c r="K77" i="4" s="1"/>
  <c r="BP41" i="1"/>
  <c r="J77" i="4" s="1"/>
  <c r="BO41" i="1"/>
  <c r="I77" i="4" s="1"/>
  <c r="BN41" i="1"/>
  <c r="H77" i="4" s="1"/>
  <c r="BM41" i="1"/>
  <c r="G77" i="4" s="1"/>
  <c r="BL41" i="1"/>
  <c r="F77" i="4" s="1"/>
  <c r="BK41" i="1"/>
  <c r="E77" i="4" s="1"/>
  <c r="BJ41" i="1"/>
  <c r="D77" i="4" s="1"/>
  <c r="BI41" i="1"/>
  <c r="BI39" i="1"/>
  <c r="BV39" i="1"/>
  <c r="P75" i="4" s="1"/>
  <c r="BU39" i="1"/>
  <c r="O75" i="4" s="1"/>
  <c r="BT39" i="1"/>
  <c r="N75" i="4" s="1"/>
  <c r="BS39" i="1"/>
  <c r="M75" i="4" s="1"/>
  <c r="BR39" i="1"/>
  <c r="L75" i="4" s="1"/>
  <c r="BQ39" i="1"/>
  <c r="K75" i="4" s="1"/>
  <c r="BP39" i="1"/>
  <c r="J75" i="4" s="1"/>
  <c r="BO39" i="1"/>
  <c r="I75" i="4" s="1"/>
  <c r="BN39" i="1"/>
  <c r="H75" i="4" s="1"/>
  <c r="BM39" i="1"/>
  <c r="G75" i="4" s="1"/>
  <c r="BL39" i="1"/>
  <c r="F75" i="4" s="1"/>
  <c r="BK39" i="1"/>
  <c r="E75" i="4" s="1"/>
  <c r="BJ39" i="1"/>
  <c r="D75" i="4" s="1"/>
  <c r="BV40" i="1"/>
  <c r="AH8" i="6" s="1"/>
  <c r="BU40" i="1"/>
  <c r="BT40" i="1"/>
  <c r="BS40" i="1"/>
  <c r="BR40" i="1"/>
  <c r="BQ40" i="1"/>
  <c r="BP40" i="1"/>
  <c r="AB8" i="6" s="1"/>
  <c r="BO40" i="1"/>
  <c r="AA8" i="6" s="1"/>
  <c r="BN40" i="1"/>
  <c r="Z8" i="6" s="1"/>
  <c r="BM40" i="1"/>
  <c r="BL40" i="1"/>
  <c r="BK40" i="1"/>
  <c r="BJ40" i="1"/>
  <c r="BI40" i="1"/>
  <c r="BJ38" i="1"/>
  <c r="V7" i="6" s="1"/>
  <c r="BK38" i="1"/>
  <c r="W7" i="6" s="1"/>
  <c r="BL38" i="1"/>
  <c r="X7" i="6" s="1"/>
  <c r="BM38" i="1"/>
  <c r="Y7" i="6" s="1"/>
  <c r="BN38" i="1"/>
  <c r="BO38" i="1"/>
  <c r="BP38" i="1"/>
  <c r="BQ38" i="1"/>
  <c r="BR38" i="1"/>
  <c r="AD7" i="6" s="1"/>
  <c r="BS38" i="1"/>
  <c r="AE7" i="6" s="1"/>
  <c r="BT38" i="1"/>
  <c r="AF7" i="6" s="1"/>
  <c r="BU38" i="1"/>
  <c r="AG7" i="6" s="1"/>
  <c r="BV38" i="1"/>
  <c r="BI38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AL37" i="1"/>
  <c r="AM37" i="1"/>
  <c r="AN37" i="1"/>
  <c r="AO37" i="1"/>
  <c r="AP37" i="1"/>
  <c r="AQ37" i="1"/>
  <c r="AR37" i="1"/>
  <c r="AS37" i="1"/>
  <c r="AT37" i="1"/>
  <c r="AU37" i="1"/>
  <c r="AV37" i="1"/>
  <c r="AW37" i="1"/>
  <c r="AX37" i="1"/>
  <c r="AY37" i="1"/>
  <c r="AZ37" i="1"/>
  <c r="BA37" i="1"/>
  <c r="BB37" i="1"/>
  <c r="BC37" i="1"/>
  <c r="BD37" i="1"/>
  <c r="BE37" i="1"/>
  <c r="BF37" i="1"/>
  <c r="C37" i="1"/>
  <c r="M68" i="1"/>
  <c r="AE11" i="6" l="1"/>
  <c r="W11" i="6"/>
  <c r="AB12" i="6"/>
  <c r="AG11" i="6"/>
  <c r="K76" i="4"/>
  <c r="BQ50" i="1"/>
  <c r="BO54" i="1"/>
  <c r="I78" i="4"/>
  <c r="BO61" i="1"/>
  <c r="I93" i="4" s="1"/>
  <c r="BO60" i="1"/>
  <c r="BO44" i="1"/>
  <c r="I79" i="4" s="1"/>
  <c r="AC134" i="6"/>
  <c r="N41" i="4"/>
  <c r="N46" i="4" s="1"/>
  <c r="D76" i="4"/>
  <c r="BJ50" i="1"/>
  <c r="AC8" i="6"/>
  <c r="AD12" i="6" s="1"/>
  <c r="I74" i="4"/>
  <c r="BO46" i="1"/>
  <c r="BQ61" i="1"/>
  <c r="K93" i="4" s="1"/>
  <c r="K78" i="4"/>
  <c r="BQ54" i="1"/>
  <c r="BQ60" i="1"/>
  <c r="BQ94" i="1"/>
  <c r="BQ95" i="1" s="1"/>
  <c r="K40" i="4"/>
  <c r="AA134" i="6"/>
  <c r="L41" i="4"/>
  <c r="L46" i="4" s="1"/>
  <c r="K74" i="4"/>
  <c r="BQ46" i="1"/>
  <c r="U134" i="6"/>
  <c r="F41" i="4"/>
  <c r="F46" i="4" s="1"/>
  <c r="L76" i="4"/>
  <c r="BR50" i="1"/>
  <c r="BP94" i="1"/>
  <c r="BP95" i="1" s="1"/>
  <c r="J40" i="4"/>
  <c r="AB134" i="6"/>
  <c r="M41" i="4"/>
  <c r="M46" i="4" s="1"/>
  <c r="E76" i="4"/>
  <c r="BK50" i="1"/>
  <c r="M76" i="4"/>
  <c r="BS50" i="1"/>
  <c r="BV46" i="1"/>
  <c r="P74" i="4"/>
  <c r="BN46" i="1"/>
  <c r="H74" i="4"/>
  <c r="BL50" i="1"/>
  <c r="F76" i="4"/>
  <c r="BT50" i="1"/>
  <c r="N76" i="4"/>
  <c r="D78" i="4"/>
  <c r="BJ54" i="1"/>
  <c r="BJ61" i="1"/>
  <c r="D93" i="4" s="1"/>
  <c r="BJ60" i="1"/>
  <c r="L78" i="4"/>
  <c r="BR61" i="1"/>
  <c r="L93" i="4" s="1"/>
  <c r="BR54" i="1"/>
  <c r="BR60" i="1"/>
  <c r="BR94" i="1"/>
  <c r="BR95" i="1" s="1"/>
  <c r="L40" i="4"/>
  <c r="Z134" i="6"/>
  <c r="K41" i="4"/>
  <c r="K46" i="4" s="1"/>
  <c r="BO94" i="1"/>
  <c r="BO95" i="1" s="1"/>
  <c r="I40" i="4"/>
  <c r="BP46" i="1"/>
  <c r="J74" i="4"/>
  <c r="G76" i="4"/>
  <c r="BM50" i="1"/>
  <c r="O76" i="4"/>
  <c r="BU50" i="1"/>
  <c r="BK60" i="1"/>
  <c r="BK61" i="1"/>
  <c r="E93" i="4" s="1"/>
  <c r="E78" i="4"/>
  <c r="BK54" i="1"/>
  <c r="BK94" i="1"/>
  <c r="BK95" i="1" s="1"/>
  <c r="E40" i="4"/>
  <c r="BS94" i="1"/>
  <c r="BS95" i="1" s="1"/>
  <c r="M40" i="4"/>
  <c r="Y134" i="6"/>
  <c r="J41" i="4"/>
  <c r="J46" i="4" s="1"/>
  <c r="O74" i="4"/>
  <c r="BU46" i="1"/>
  <c r="BS60" i="1"/>
  <c r="BS61" i="1"/>
  <c r="M93" i="4" s="1"/>
  <c r="M78" i="4"/>
  <c r="BS54" i="1"/>
  <c r="BS44" i="1"/>
  <c r="M79" i="4" s="1"/>
  <c r="BK44" i="1"/>
  <c r="E79" i="4" s="1"/>
  <c r="N74" i="4"/>
  <c r="BT46" i="1"/>
  <c r="F74" i="4"/>
  <c r="BL46" i="1"/>
  <c r="H76" i="4"/>
  <c r="BN50" i="1"/>
  <c r="P76" i="4"/>
  <c r="BV50" i="1"/>
  <c r="F78" i="4"/>
  <c r="BL60" i="1"/>
  <c r="BL54" i="1"/>
  <c r="BL61" i="1"/>
  <c r="F93" i="4" s="1"/>
  <c r="BT61" i="1"/>
  <c r="N93" i="4" s="1"/>
  <c r="N78" i="4"/>
  <c r="BT54" i="1"/>
  <c r="BT60" i="1"/>
  <c r="BR44" i="1"/>
  <c r="L79" i="4" s="1"/>
  <c r="BL94" i="1"/>
  <c r="BL95" i="1" s="1"/>
  <c r="F40" i="4"/>
  <c r="BT94" i="1"/>
  <c r="BT95" i="1" s="1"/>
  <c r="N40" i="4"/>
  <c r="AG8" i="6"/>
  <c r="Y8" i="6"/>
  <c r="Z12" i="6" s="1"/>
  <c r="X134" i="6"/>
  <c r="I41" i="4"/>
  <c r="I46" i="4" s="1"/>
  <c r="J78" i="4"/>
  <c r="BP54" i="1"/>
  <c r="BP61" i="1"/>
  <c r="J93" i="4" s="1"/>
  <c r="BP60" i="1"/>
  <c r="G74" i="4"/>
  <c r="BM46" i="1"/>
  <c r="M74" i="4"/>
  <c r="BS46" i="1"/>
  <c r="E74" i="4"/>
  <c r="BK46" i="1"/>
  <c r="I76" i="4"/>
  <c r="BO50" i="1"/>
  <c r="BM54" i="1"/>
  <c r="BM60" i="1"/>
  <c r="G78" i="4"/>
  <c r="BM61" i="1"/>
  <c r="G93" i="4" s="1"/>
  <c r="BU54" i="1"/>
  <c r="BU60" i="1"/>
  <c r="O78" i="4"/>
  <c r="BU61" i="1"/>
  <c r="O93" i="4" s="1"/>
  <c r="BQ44" i="1"/>
  <c r="K79" i="4" s="1"/>
  <c r="BM94" i="1"/>
  <c r="BM95" i="1" s="1"/>
  <c r="G40" i="4"/>
  <c r="BU94" i="1"/>
  <c r="BU95" i="1" s="1"/>
  <c r="O40" i="4"/>
  <c r="AF8" i="6"/>
  <c r="X8" i="6"/>
  <c r="AC7" i="6"/>
  <c r="AE134" i="6"/>
  <c r="P41" i="4"/>
  <c r="W134" i="6"/>
  <c r="H41" i="4"/>
  <c r="H46" i="4" s="1"/>
  <c r="L74" i="4"/>
  <c r="BR46" i="1"/>
  <c r="D74" i="4"/>
  <c r="BJ46" i="1"/>
  <c r="J76" i="4"/>
  <c r="BP50" i="1"/>
  <c r="H78" i="4"/>
  <c r="BN60" i="1"/>
  <c r="BN61" i="1"/>
  <c r="H93" i="4" s="1"/>
  <c r="BN54" i="1"/>
  <c r="P78" i="4"/>
  <c r="BV54" i="1"/>
  <c r="BV61" i="1"/>
  <c r="P93" i="4" s="1"/>
  <c r="BV60" i="1"/>
  <c r="BP44" i="1"/>
  <c r="J79" i="4" s="1"/>
  <c r="BN94" i="1"/>
  <c r="BN95" i="1" s="1"/>
  <c r="H40" i="4"/>
  <c r="BV94" i="1"/>
  <c r="BV95" i="1" s="1"/>
  <c r="P40" i="4"/>
  <c r="AE8" i="6"/>
  <c r="AE12" i="6" s="1"/>
  <c r="W8" i="6"/>
  <c r="W12" i="6" s="1"/>
  <c r="AB7" i="6"/>
  <c r="AB11" i="6" s="1"/>
  <c r="AD134" i="6"/>
  <c r="O41" i="4"/>
  <c r="O46" i="4" s="1"/>
  <c r="V134" i="6"/>
  <c r="G41" i="4"/>
  <c r="G46" i="4" s="1"/>
  <c r="AD11" i="6"/>
  <c r="Y11" i="6"/>
  <c r="AA12" i="6"/>
  <c r="AF11" i="6"/>
  <c r="X11" i="6"/>
  <c r="V11" i="6"/>
  <c r="AF12" i="6"/>
  <c r="V12" i="6"/>
  <c r="AA11" i="6"/>
  <c r="AH11" i="6"/>
  <c r="Z11" i="6"/>
  <c r="BV34" i="1"/>
  <c r="P31" i="4" s="1"/>
  <c r="BU34" i="1"/>
  <c r="O31" i="4" s="1"/>
  <c r="BT34" i="1"/>
  <c r="N31" i="4" s="1"/>
  <c r="BS34" i="1"/>
  <c r="M31" i="4" s="1"/>
  <c r="BR34" i="1"/>
  <c r="L31" i="4" s="1"/>
  <c r="BQ34" i="1"/>
  <c r="K31" i="4" s="1"/>
  <c r="BP34" i="1"/>
  <c r="J31" i="4" s="1"/>
  <c r="BO34" i="1"/>
  <c r="I31" i="4" s="1"/>
  <c r="BN34" i="1"/>
  <c r="H31" i="4" s="1"/>
  <c r="BM34" i="1"/>
  <c r="G31" i="4" s="1"/>
  <c r="BL34" i="1"/>
  <c r="F31" i="4" s="1"/>
  <c r="BJ34" i="1"/>
  <c r="D31" i="4" s="1"/>
  <c r="BI34" i="1"/>
  <c r="C31" i="4" s="1"/>
  <c r="BV33" i="1"/>
  <c r="P30" i="4" s="1"/>
  <c r="BU33" i="1"/>
  <c r="O30" i="4" s="1"/>
  <c r="BT33" i="1"/>
  <c r="N30" i="4" s="1"/>
  <c r="BS33" i="1"/>
  <c r="M30" i="4" s="1"/>
  <c r="BR33" i="1"/>
  <c r="L30" i="4" s="1"/>
  <c r="BQ33" i="1"/>
  <c r="K30" i="4" s="1"/>
  <c r="BP33" i="1"/>
  <c r="J30" i="4" s="1"/>
  <c r="BO33" i="1"/>
  <c r="I30" i="4" s="1"/>
  <c r="BN33" i="1"/>
  <c r="H30" i="4" s="1"/>
  <c r="BM33" i="1"/>
  <c r="G30" i="4" s="1"/>
  <c r="BL33" i="1"/>
  <c r="F30" i="4" s="1"/>
  <c r="BJ33" i="1"/>
  <c r="D30" i="4" s="1"/>
  <c r="BI33" i="1"/>
  <c r="C30" i="4" s="1"/>
  <c r="BV32" i="1"/>
  <c r="P29" i="4" s="1"/>
  <c r="BU32" i="1"/>
  <c r="O29" i="4" s="1"/>
  <c r="BT32" i="1"/>
  <c r="N29" i="4" s="1"/>
  <c r="BS32" i="1"/>
  <c r="M29" i="4" s="1"/>
  <c r="BR32" i="1"/>
  <c r="L29" i="4" s="1"/>
  <c r="BQ32" i="1"/>
  <c r="K29" i="4" s="1"/>
  <c r="BP32" i="1"/>
  <c r="J29" i="4" s="1"/>
  <c r="BO32" i="1"/>
  <c r="I29" i="4" s="1"/>
  <c r="BN32" i="1"/>
  <c r="H29" i="4" s="1"/>
  <c r="BM32" i="1"/>
  <c r="G29" i="4" s="1"/>
  <c r="BL32" i="1"/>
  <c r="F29" i="4" s="1"/>
  <c r="BK32" i="1"/>
  <c r="E29" i="4" s="1"/>
  <c r="BJ32" i="1"/>
  <c r="D29" i="4" s="1"/>
  <c r="BI32" i="1"/>
  <c r="C29" i="4" s="1"/>
  <c r="BV31" i="1"/>
  <c r="BU31" i="1"/>
  <c r="BT31" i="1"/>
  <c r="BS31" i="1"/>
  <c r="BR31" i="1"/>
  <c r="BQ31" i="1"/>
  <c r="BP31" i="1"/>
  <c r="BO31" i="1"/>
  <c r="BN31" i="1"/>
  <c r="BM31" i="1"/>
  <c r="BL31" i="1"/>
  <c r="BK31" i="1"/>
  <c r="BJ31" i="1"/>
  <c r="BI31" i="1"/>
  <c r="BV30" i="1"/>
  <c r="BU30" i="1"/>
  <c r="BT30" i="1"/>
  <c r="BS30" i="1"/>
  <c r="BR30" i="1"/>
  <c r="BQ30" i="1"/>
  <c r="BP30" i="1"/>
  <c r="BO30" i="1"/>
  <c r="BN30" i="1"/>
  <c r="BM30" i="1"/>
  <c r="BL30" i="1"/>
  <c r="BK30" i="1"/>
  <c r="BJ30" i="1"/>
  <c r="BI30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O34" i="1"/>
  <c r="N34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X32" i="1"/>
  <c r="AY32" i="1"/>
  <c r="AZ32" i="1"/>
  <c r="BA32" i="1"/>
  <c r="BB32" i="1"/>
  <c r="BC32" i="1"/>
  <c r="BD32" i="1"/>
  <c r="BE32" i="1"/>
  <c r="BF32" i="1"/>
  <c r="R32" i="1"/>
  <c r="S32" i="1"/>
  <c r="P32" i="1"/>
  <c r="Q32" i="1"/>
  <c r="O32" i="1"/>
  <c r="N32" i="1"/>
  <c r="M32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AD30" i="1"/>
  <c r="AE30" i="1"/>
  <c r="AF30" i="1"/>
  <c r="AG30" i="1"/>
  <c r="AH30" i="1"/>
  <c r="AI30" i="1"/>
  <c r="AJ30" i="1"/>
  <c r="AK30" i="1"/>
  <c r="AL30" i="1"/>
  <c r="AM30" i="1"/>
  <c r="AN30" i="1"/>
  <c r="AO30" i="1"/>
  <c r="AP30" i="1"/>
  <c r="AQ30" i="1"/>
  <c r="AR30" i="1"/>
  <c r="AS30" i="1"/>
  <c r="AT30" i="1"/>
  <c r="AU30" i="1"/>
  <c r="AV30" i="1"/>
  <c r="AW30" i="1"/>
  <c r="AX30" i="1"/>
  <c r="AY30" i="1"/>
  <c r="AZ30" i="1"/>
  <c r="BA30" i="1"/>
  <c r="BB30" i="1"/>
  <c r="BC30" i="1"/>
  <c r="BD30" i="1"/>
  <c r="BE30" i="1"/>
  <c r="BF30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F31" i="1"/>
  <c r="AG31" i="1"/>
  <c r="AH31" i="1"/>
  <c r="AI31" i="1"/>
  <c r="AJ31" i="1"/>
  <c r="AK31" i="1"/>
  <c r="AL31" i="1"/>
  <c r="AM31" i="1"/>
  <c r="AN31" i="1"/>
  <c r="AO31" i="1"/>
  <c r="AP31" i="1"/>
  <c r="AQ31" i="1"/>
  <c r="AR31" i="1"/>
  <c r="AS31" i="1"/>
  <c r="AT31" i="1"/>
  <c r="AU31" i="1"/>
  <c r="AV31" i="1"/>
  <c r="AW31" i="1"/>
  <c r="AX31" i="1"/>
  <c r="AY31" i="1"/>
  <c r="AZ31" i="1"/>
  <c r="BA31" i="1"/>
  <c r="BB31" i="1"/>
  <c r="BC31" i="1"/>
  <c r="BD31" i="1"/>
  <c r="BE31" i="1"/>
  <c r="BF31" i="1"/>
  <c r="O31" i="1"/>
  <c r="O30" i="1"/>
  <c r="N31" i="1"/>
  <c r="N30" i="1"/>
  <c r="M31" i="1"/>
  <c r="M30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BD33" i="1"/>
  <c r="BE33" i="1"/>
  <c r="BF33" i="1"/>
  <c r="D71" i="1"/>
  <c r="E71" i="1"/>
  <c r="F71" i="1"/>
  <c r="G71" i="1"/>
  <c r="H71" i="1"/>
  <c r="I71" i="1"/>
  <c r="J71" i="1"/>
  <c r="K71" i="1"/>
  <c r="L71" i="1"/>
  <c r="D72" i="1"/>
  <c r="E72" i="1"/>
  <c r="F72" i="1"/>
  <c r="G72" i="1"/>
  <c r="H72" i="1"/>
  <c r="I72" i="1"/>
  <c r="J72" i="1"/>
  <c r="K72" i="1"/>
  <c r="L72" i="1"/>
  <c r="C72" i="1"/>
  <c r="C71" i="1"/>
  <c r="G69" i="1"/>
  <c r="D68" i="1"/>
  <c r="D69" i="1" s="1"/>
  <c r="E68" i="1"/>
  <c r="E69" i="1" s="1"/>
  <c r="F68" i="1"/>
  <c r="F69" i="1" s="1"/>
  <c r="G68" i="1"/>
  <c r="H68" i="1"/>
  <c r="H69" i="1" s="1"/>
  <c r="I68" i="1"/>
  <c r="I69" i="1" s="1"/>
  <c r="J68" i="1"/>
  <c r="J69" i="1" s="1"/>
  <c r="K68" i="1"/>
  <c r="K69" i="1" s="1"/>
  <c r="L68" i="1"/>
  <c r="L69" i="1" s="1"/>
  <c r="C68" i="1"/>
  <c r="C69" i="1" s="1"/>
  <c r="L97" i="1"/>
  <c r="G40" i="5"/>
  <c r="K97" i="1"/>
  <c r="G6" i="5"/>
  <c r="F6" i="5"/>
  <c r="J97" i="1"/>
  <c r="F97" i="1"/>
  <c r="H94" i="1"/>
  <c r="H95" i="1" s="1"/>
  <c r="I94" i="1"/>
  <c r="I95" i="1" s="1"/>
  <c r="J94" i="1"/>
  <c r="J95" i="1" s="1"/>
  <c r="G94" i="1"/>
  <c r="G95" i="1" s="1"/>
  <c r="D94" i="1"/>
  <c r="D95" i="1" s="1"/>
  <c r="E94" i="1"/>
  <c r="E95" i="1" s="1"/>
  <c r="F94" i="1"/>
  <c r="F95" i="1" s="1"/>
  <c r="C94" i="1"/>
  <c r="C95" i="1" s="1"/>
  <c r="L95" i="1"/>
  <c r="K95" i="1"/>
  <c r="X12" i="6" l="1"/>
  <c r="Y12" i="6"/>
  <c r="G27" i="4"/>
  <c r="BM98" i="1"/>
  <c r="AG40" i="6"/>
  <c r="O81" i="4"/>
  <c r="BU48" i="1"/>
  <c r="AC12" i="6"/>
  <c r="AD42" i="6"/>
  <c r="L87" i="4"/>
  <c r="BR63" i="1"/>
  <c r="L95" i="4" s="1"/>
  <c r="BR56" i="1"/>
  <c r="BO56" i="1"/>
  <c r="AA42" i="6"/>
  <c r="I87" i="4"/>
  <c r="BO63" i="1"/>
  <c r="I95" i="4" s="1"/>
  <c r="BO64" i="1"/>
  <c r="I96" i="4" s="1"/>
  <c r="I27" i="4"/>
  <c r="BO98" i="1"/>
  <c r="C28" i="4"/>
  <c r="BI99" i="1"/>
  <c r="BQ99" i="1"/>
  <c r="K28" i="4"/>
  <c r="N92" i="4"/>
  <c r="BT62" i="1"/>
  <c r="N94" i="4" s="1"/>
  <c r="AH41" i="6"/>
  <c r="P84" i="4"/>
  <c r="BV52" i="1"/>
  <c r="W41" i="6"/>
  <c r="E84" i="4"/>
  <c r="BK52" i="1"/>
  <c r="K92" i="4"/>
  <c r="BQ62" i="1"/>
  <c r="K94" i="4" s="1"/>
  <c r="BQ52" i="1"/>
  <c r="AC41" i="6"/>
  <c r="K84" i="4"/>
  <c r="H27" i="4"/>
  <c r="BN98" i="1"/>
  <c r="AB40" i="6"/>
  <c r="J81" i="4"/>
  <c r="BP48" i="1"/>
  <c r="BU52" i="1"/>
  <c r="O85" i="4" s="1"/>
  <c r="AF41" i="6"/>
  <c r="N84" i="4"/>
  <c r="BT52" i="1"/>
  <c r="V41" i="6"/>
  <c r="D84" i="4"/>
  <c r="BJ52" i="1"/>
  <c r="D85" i="4" s="1"/>
  <c r="BP98" i="1"/>
  <c r="J27" i="4"/>
  <c r="D28" i="4"/>
  <c r="BJ99" i="1"/>
  <c r="L28" i="4"/>
  <c r="BR99" i="1"/>
  <c r="P92" i="4"/>
  <c r="BV62" i="1"/>
  <c r="P94" i="4" s="1"/>
  <c r="AB41" i="6"/>
  <c r="J84" i="4"/>
  <c r="BP52" i="1"/>
  <c r="P47" i="4"/>
  <c r="P46" i="4"/>
  <c r="G92" i="4"/>
  <c r="BM62" i="1"/>
  <c r="G94" i="4" s="1"/>
  <c r="Y40" i="6"/>
  <c r="BM48" i="1"/>
  <c r="G81" i="4"/>
  <c r="BT56" i="1"/>
  <c r="AF42" i="6"/>
  <c r="N87" i="4"/>
  <c r="BT63" i="1"/>
  <c r="N95" i="4" s="1"/>
  <c r="E92" i="4"/>
  <c r="BK62" i="1"/>
  <c r="E94" i="4" s="1"/>
  <c r="BM52" i="1"/>
  <c r="X41" i="6"/>
  <c r="F84" i="4"/>
  <c r="BL52" i="1"/>
  <c r="BQ56" i="1"/>
  <c r="AC42" i="6"/>
  <c r="K87" i="4"/>
  <c r="BQ64" i="1"/>
  <c r="K96" i="4" s="1"/>
  <c r="BQ63" i="1"/>
  <c r="K95" i="4" s="1"/>
  <c r="O27" i="4"/>
  <c r="BU98" i="1"/>
  <c r="J28" i="4"/>
  <c r="BP99" i="1"/>
  <c r="AE40" i="6"/>
  <c r="M81" i="4"/>
  <c r="BS48" i="1"/>
  <c r="C27" i="4"/>
  <c r="BI98" i="1"/>
  <c r="K27" i="4"/>
  <c r="BQ98" i="1"/>
  <c r="BK99" i="1"/>
  <c r="E28" i="4"/>
  <c r="BS99" i="1"/>
  <c r="M28" i="4"/>
  <c r="Y42" i="6"/>
  <c r="BM63" i="1"/>
  <c r="G95" i="4" s="1"/>
  <c r="G87" i="4"/>
  <c r="AG12" i="6"/>
  <c r="Z41" i="6"/>
  <c r="H84" i="4"/>
  <c r="BN52" i="1"/>
  <c r="BS56" i="1"/>
  <c r="AE42" i="6"/>
  <c r="BS63" i="1"/>
  <c r="M95" i="4" s="1"/>
  <c r="M87" i="4"/>
  <c r="AG41" i="6"/>
  <c r="O84" i="4"/>
  <c r="D92" i="4"/>
  <c r="BJ62" i="1"/>
  <c r="D94" i="4" s="1"/>
  <c r="AC40" i="6"/>
  <c r="K81" i="4"/>
  <c r="BQ48" i="1"/>
  <c r="AH12" i="6"/>
  <c r="I28" i="4"/>
  <c r="BO99" i="1"/>
  <c r="F92" i="4"/>
  <c r="BL62" i="1"/>
  <c r="F94" i="4" s="1"/>
  <c r="BK56" i="1"/>
  <c r="E88" i="4" s="1"/>
  <c r="W42" i="6"/>
  <c r="BK63" i="1"/>
  <c r="E95" i="4" s="1"/>
  <c r="E87" i="4"/>
  <c r="L92" i="4"/>
  <c r="BR62" i="1"/>
  <c r="L94" i="4" s="1"/>
  <c r="AE41" i="6"/>
  <c r="M84" i="4"/>
  <c r="BS52" i="1"/>
  <c r="H92" i="4"/>
  <c r="BN62" i="1"/>
  <c r="H94" i="4" s="1"/>
  <c r="D27" i="4"/>
  <c r="BJ98" i="1"/>
  <c r="L27" i="4"/>
  <c r="BR98" i="1"/>
  <c r="F28" i="4"/>
  <c r="BL99" i="1"/>
  <c r="N28" i="4"/>
  <c r="BT99" i="1"/>
  <c r="AC11" i="6"/>
  <c r="AH42" i="6"/>
  <c r="BV64" i="1"/>
  <c r="P96" i="4" s="1"/>
  <c r="BV63" i="1"/>
  <c r="P95" i="4" s="1"/>
  <c r="P87" i="4"/>
  <c r="BV56" i="1"/>
  <c r="BK48" i="1"/>
  <c r="E82" i="4" s="1"/>
  <c r="V40" i="6"/>
  <c r="D81" i="4"/>
  <c r="BJ48" i="1"/>
  <c r="AA41" i="6"/>
  <c r="I84" i="4"/>
  <c r="BO52" i="1"/>
  <c r="J92" i="4"/>
  <c r="BP62" i="1"/>
  <c r="J94" i="4" s="1"/>
  <c r="Z40" i="6"/>
  <c r="H81" i="4"/>
  <c r="BN48" i="1"/>
  <c r="AG42" i="6"/>
  <c r="BU63" i="1"/>
  <c r="O95" i="4" s="1"/>
  <c r="O87" i="4"/>
  <c r="BU56" i="1"/>
  <c r="AD41" i="6"/>
  <c r="L84" i="4"/>
  <c r="BR52" i="1"/>
  <c r="E27" i="4"/>
  <c r="BK98" i="1"/>
  <c r="M27" i="4"/>
  <c r="BS98" i="1"/>
  <c r="BM99" i="1"/>
  <c r="G28" i="4"/>
  <c r="BU99" i="1"/>
  <c r="O28" i="4"/>
  <c r="BL48" i="1"/>
  <c r="X40" i="6"/>
  <c r="F81" i="4"/>
  <c r="Y41" i="6"/>
  <c r="G84" i="4"/>
  <c r="V42" i="6"/>
  <c r="D87" i="4"/>
  <c r="BJ63" i="1"/>
  <c r="D95" i="4" s="1"/>
  <c r="BJ64" i="1"/>
  <c r="D96" i="4" s="1"/>
  <c r="BJ56" i="1"/>
  <c r="AA40" i="6"/>
  <c r="I81" i="4"/>
  <c r="BO48" i="1"/>
  <c r="BO62" i="1"/>
  <c r="I94" i="4" s="1"/>
  <c r="I92" i="4"/>
  <c r="BT48" i="1"/>
  <c r="AF40" i="6"/>
  <c r="N81" i="4"/>
  <c r="P27" i="4"/>
  <c r="BV98" i="1"/>
  <c r="F27" i="4"/>
  <c r="BL98" i="1"/>
  <c r="N27" i="4"/>
  <c r="BT98" i="1"/>
  <c r="BN99" i="1"/>
  <c r="H28" i="4"/>
  <c r="BV99" i="1"/>
  <c r="P28" i="4"/>
  <c r="Z42" i="6"/>
  <c r="BN64" i="1"/>
  <c r="H96" i="4" s="1"/>
  <c r="BN63" i="1"/>
  <c r="H95" i="4" s="1"/>
  <c r="H87" i="4"/>
  <c r="BN56" i="1"/>
  <c r="BR48" i="1"/>
  <c r="AD40" i="6"/>
  <c r="L81" i="4"/>
  <c r="O92" i="4"/>
  <c r="BU62" i="1"/>
  <c r="O94" i="4" s="1"/>
  <c r="W40" i="6"/>
  <c r="E81" i="4"/>
  <c r="AB42" i="6"/>
  <c r="J87" i="4"/>
  <c r="BP64" i="1"/>
  <c r="J96" i="4" s="1"/>
  <c r="BP63" i="1"/>
  <c r="J95" i="4" s="1"/>
  <c r="BP56" i="1"/>
  <c r="BM56" i="1"/>
  <c r="X42" i="6"/>
  <c r="F87" i="4"/>
  <c r="BL64" i="1"/>
  <c r="F96" i="4" s="1"/>
  <c r="BL63" i="1"/>
  <c r="F95" i="4" s="1"/>
  <c r="BL56" i="1"/>
  <c r="M92" i="4"/>
  <c r="BS62" i="1"/>
  <c r="M94" i="4" s="1"/>
  <c r="AH40" i="6"/>
  <c r="P81" i="4"/>
  <c r="BV48" i="1"/>
  <c r="L93" i="1"/>
  <c r="D93" i="1"/>
  <c r="E93" i="1"/>
  <c r="F93" i="1"/>
  <c r="G93" i="1"/>
  <c r="H93" i="1"/>
  <c r="I93" i="1"/>
  <c r="J93" i="1"/>
  <c r="K93" i="1"/>
  <c r="C93" i="1"/>
  <c r="H66" i="1"/>
  <c r="I66" i="1"/>
  <c r="J66" i="1"/>
  <c r="K66" i="1"/>
  <c r="D66" i="1"/>
  <c r="E66" i="1"/>
  <c r="F66" i="1"/>
  <c r="G66" i="1"/>
  <c r="C66" i="1"/>
  <c r="D60" i="1"/>
  <c r="D63" i="1" s="1"/>
  <c r="E60" i="1"/>
  <c r="E63" i="1" s="1"/>
  <c r="F60" i="1"/>
  <c r="G60" i="1"/>
  <c r="G63" i="1" s="1"/>
  <c r="H60" i="1"/>
  <c r="I60" i="1"/>
  <c r="I63" i="1" s="1"/>
  <c r="J60" i="1"/>
  <c r="J63" i="1" s="1"/>
  <c r="K60" i="1"/>
  <c r="K63" i="1" s="1"/>
  <c r="L60" i="1"/>
  <c r="L63" i="1" s="1"/>
  <c r="D61" i="1"/>
  <c r="E61" i="1"/>
  <c r="F61" i="1"/>
  <c r="G61" i="1"/>
  <c r="H61" i="1"/>
  <c r="I61" i="1"/>
  <c r="J61" i="1"/>
  <c r="K61" i="1"/>
  <c r="L61" i="1"/>
  <c r="C61" i="1"/>
  <c r="C60" i="1"/>
  <c r="C63" i="1" s="1"/>
  <c r="G57" i="1"/>
  <c r="H56" i="1"/>
  <c r="H57" i="1" s="1"/>
  <c r="I56" i="1"/>
  <c r="I57" i="1" s="1"/>
  <c r="J56" i="1"/>
  <c r="J57" i="1" s="1"/>
  <c r="K56" i="1"/>
  <c r="L56" i="1"/>
  <c r="G56" i="1"/>
  <c r="E55" i="1"/>
  <c r="F55" i="1"/>
  <c r="G55" i="1"/>
  <c r="H55" i="1"/>
  <c r="I55" i="1"/>
  <c r="J55" i="1"/>
  <c r="K55" i="1"/>
  <c r="L55" i="1"/>
  <c r="D55" i="1"/>
  <c r="C80" i="1"/>
  <c r="D54" i="4" l="1"/>
  <c r="D63" i="4" s="1"/>
  <c r="BS49" i="1"/>
  <c r="M83" i="4" s="1"/>
  <c r="M82" i="4"/>
  <c r="G82" i="4"/>
  <c r="BM49" i="1"/>
  <c r="G83" i="4" s="1"/>
  <c r="BN49" i="1"/>
  <c r="H83" i="4" s="1"/>
  <c r="H82" i="4"/>
  <c r="G88" i="4"/>
  <c r="BM57" i="1"/>
  <c r="G89" i="4" s="1"/>
  <c r="BO49" i="1"/>
  <c r="I83" i="4" s="1"/>
  <c r="I82" i="4"/>
  <c r="BS64" i="1"/>
  <c r="M96" i="4" s="1"/>
  <c r="BQ57" i="1"/>
  <c r="K89" i="4" s="1"/>
  <c r="K88" i="4"/>
  <c r="BT64" i="1"/>
  <c r="N96" i="4" s="1"/>
  <c r="O82" i="4"/>
  <c r="BU49" i="1"/>
  <c r="O83" i="4" s="1"/>
  <c r="BP49" i="1"/>
  <c r="J83" i="4" s="1"/>
  <c r="J82" i="4"/>
  <c r="BK49" i="1"/>
  <c r="E83" i="4" s="1"/>
  <c r="D82" i="4"/>
  <c r="BK64" i="1"/>
  <c r="E96" i="4" s="1"/>
  <c r="E85" i="4"/>
  <c r="BK53" i="1"/>
  <c r="E86" i="4" s="1"/>
  <c r="BU57" i="1"/>
  <c r="O89" i="4" s="1"/>
  <c r="O88" i="4"/>
  <c r="BQ49" i="1"/>
  <c r="K83" i="4" s="1"/>
  <c r="K82" i="4"/>
  <c r="BM64" i="1"/>
  <c r="G96" i="4" s="1"/>
  <c r="F85" i="4"/>
  <c r="BL53" i="1"/>
  <c r="F86" i="4" s="1"/>
  <c r="BU53" i="1"/>
  <c r="O86" i="4" s="1"/>
  <c r="N85" i="4"/>
  <c r="BT53" i="1"/>
  <c r="N86" i="4" s="1"/>
  <c r="I88" i="4"/>
  <c r="BO57" i="1"/>
  <c r="I89" i="4" s="1"/>
  <c r="BL57" i="1"/>
  <c r="F89" i="4" s="1"/>
  <c r="F88" i="4"/>
  <c r="P88" i="4"/>
  <c r="BV57" i="1"/>
  <c r="P89" i="4" s="1"/>
  <c r="BS53" i="1"/>
  <c r="M86" i="4" s="1"/>
  <c r="M85" i="4"/>
  <c r="P85" i="4"/>
  <c r="BV53" i="1"/>
  <c r="P86" i="4" s="1"/>
  <c r="L88" i="4"/>
  <c r="BR57" i="1"/>
  <c r="L89" i="4" s="1"/>
  <c r="BV49" i="1"/>
  <c r="P83" i="4" s="1"/>
  <c r="P82" i="4"/>
  <c r="H85" i="4"/>
  <c r="BN53" i="1"/>
  <c r="H86" i="4" s="1"/>
  <c r="J88" i="4"/>
  <c r="BP57" i="1"/>
  <c r="J89" i="4" s="1"/>
  <c r="BU64" i="1"/>
  <c r="O96" i="4" s="1"/>
  <c r="BR49" i="1"/>
  <c r="L83" i="4" s="1"/>
  <c r="L82" i="4"/>
  <c r="BK57" i="1"/>
  <c r="E89" i="4" s="1"/>
  <c r="D88" i="4"/>
  <c r="I85" i="4"/>
  <c r="BO53" i="1"/>
  <c r="I86" i="4" s="1"/>
  <c r="BT57" i="1"/>
  <c r="N89" i="4" s="1"/>
  <c r="N88" i="4"/>
  <c r="J85" i="4"/>
  <c r="BP53" i="1"/>
  <c r="J86" i="4" s="1"/>
  <c r="BR64" i="1"/>
  <c r="L96" i="4" s="1"/>
  <c r="N82" i="4"/>
  <c r="BT49" i="1"/>
  <c r="N83" i="4" s="1"/>
  <c r="L85" i="4"/>
  <c r="BR53" i="1"/>
  <c r="L86" i="4" s="1"/>
  <c r="H88" i="4"/>
  <c r="BN57" i="1"/>
  <c r="H89" i="4" s="1"/>
  <c r="F82" i="4"/>
  <c r="BL49" i="1"/>
  <c r="F83" i="4" s="1"/>
  <c r="M88" i="4"/>
  <c r="BS57" i="1"/>
  <c r="M89" i="4" s="1"/>
  <c r="G85" i="4"/>
  <c r="BM53" i="1"/>
  <c r="G86" i="4" s="1"/>
  <c r="BQ53" i="1"/>
  <c r="K86" i="4" s="1"/>
  <c r="K85" i="4"/>
  <c r="K57" i="1"/>
  <c r="L57" i="1"/>
  <c r="F62" i="1"/>
  <c r="F64" i="1" s="1"/>
  <c r="F63" i="1"/>
  <c r="C62" i="1"/>
  <c r="C64" i="1" s="1"/>
  <c r="G62" i="1"/>
  <c r="G64" i="1" s="1"/>
  <c r="K62" i="1"/>
  <c r="K64" i="1" s="1"/>
  <c r="E62" i="1"/>
  <c r="E64" i="1" s="1"/>
  <c r="H63" i="1"/>
  <c r="H62" i="1"/>
  <c r="H64" i="1" s="1"/>
  <c r="L62" i="1"/>
  <c r="L64" i="1" s="1"/>
  <c r="D62" i="1"/>
  <c r="D64" i="1" s="1"/>
  <c r="J62" i="1"/>
  <c r="J64" i="1" s="1"/>
  <c r="I62" i="1"/>
  <c r="I64" i="1" s="1"/>
  <c r="D57" i="4" l="1"/>
  <c r="D58" i="4" s="1"/>
  <c r="D71" i="4" s="1"/>
  <c r="D62" i="4"/>
  <c r="D64" i="4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C4" i="1"/>
  <c r="T90" i="1"/>
  <c r="X90" i="1" s="1"/>
  <c r="AB90" i="1" s="1"/>
  <c r="AF90" i="1" s="1"/>
  <c r="AJ90" i="1" s="1"/>
  <c r="U90" i="1"/>
  <c r="Y90" i="1" s="1"/>
  <c r="AC90" i="1" s="1"/>
  <c r="AG90" i="1" s="1"/>
  <c r="AK90" i="1" s="1"/>
  <c r="V90" i="1"/>
  <c r="Z90" i="1" s="1"/>
  <c r="AD90" i="1" s="1"/>
  <c r="AH90" i="1" s="1"/>
  <c r="AL90" i="1" s="1"/>
  <c r="S90" i="1"/>
  <c r="W90" i="1" s="1"/>
  <c r="AA90" i="1" s="1"/>
  <c r="AE90" i="1" s="1"/>
  <c r="AI90" i="1" s="1"/>
  <c r="D83" i="1"/>
  <c r="E83" i="1"/>
  <c r="F83" i="1"/>
  <c r="G83" i="1"/>
  <c r="G84" i="1" s="1"/>
  <c r="H83" i="1"/>
  <c r="I83" i="1"/>
  <c r="J83" i="1"/>
  <c r="K83" i="1"/>
  <c r="L83" i="1"/>
  <c r="C83" i="1"/>
  <c r="C86" i="1" s="1"/>
  <c r="O52" i="1"/>
  <c r="S52" i="1" s="1"/>
  <c r="W52" i="1" s="1"/>
  <c r="AA52" i="1" s="1"/>
  <c r="AE52" i="1" s="1"/>
  <c r="AI52" i="1" s="1"/>
  <c r="AM52" i="1" s="1"/>
  <c r="AQ52" i="1" s="1"/>
  <c r="AU52" i="1" s="1"/>
  <c r="AY52" i="1" s="1"/>
  <c r="BC52" i="1" s="1"/>
  <c r="P52" i="1"/>
  <c r="T52" i="1" s="1"/>
  <c r="X52" i="1" s="1"/>
  <c r="AB52" i="1" s="1"/>
  <c r="AF52" i="1" s="1"/>
  <c r="AJ52" i="1" s="1"/>
  <c r="AN52" i="1" s="1"/>
  <c r="AR52" i="1" s="1"/>
  <c r="AV52" i="1" s="1"/>
  <c r="AZ52" i="1" s="1"/>
  <c r="BD52" i="1" s="1"/>
  <c r="N52" i="1"/>
  <c r="N50" i="1" s="1"/>
  <c r="M52" i="1"/>
  <c r="M50" i="1" s="1"/>
  <c r="L53" i="1"/>
  <c r="H53" i="1"/>
  <c r="I53" i="1"/>
  <c r="J53" i="1"/>
  <c r="K53" i="1"/>
  <c r="G53" i="1"/>
  <c r="E51" i="1"/>
  <c r="F51" i="1"/>
  <c r="G51" i="1"/>
  <c r="H51" i="1"/>
  <c r="I51" i="1"/>
  <c r="J51" i="1"/>
  <c r="K51" i="1"/>
  <c r="L51" i="1"/>
  <c r="D51" i="1"/>
  <c r="D80" i="1"/>
  <c r="D86" i="1" s="1"/>
  <c r="E80" i="1"/>
  <c r="F80" i="1"/>
  <c r="F86" i="1" s="1"/>
  <c r="G80" i="1"/>
  <c r="H80" i="1"/>
  <c r="I80" i="1"/>
  <c r="J80" i="1"/>
  <c r="K80" i="1"/>
  <c r="L80" i="1"/>
  <c r="L47" i="1"/>
  <c r="L48" i="1"/>
  <c r="P48" i="1" s="1"/>
  <c r="H48" i="1"/>
  <c r="H49" i="1" s="1"/>
  <c r="I48" i="1"/>
  <c r="I49" i="1" s="1"/>
  <c r="J48" i="1"/>
  <c r="J49" i="1" s="1"/>
  <c r="K48" i="1"/>
  <c r="G48" i="1"/>
  <c r="G49" i="1" s="1"/>
  <c r="E47" i="1"/>
  <c r="F47" i="1"/>
  <c r="G47" i="1"/>
  <c r="H47" i="1"/>
  <c r="I47" i="1"/>
  <c r="J47" i="1"/>
  <c r="K47" i="1"/>
  <c r="D47" i="1"/>
  <c r="H44" i="1"/>
  <c r="I44" i="1"/>
  <c r="J44" i="1"/>
  <c r="K44" i="1"/>
  <c r="L44" i="1"/>
  <c r="G44" i="1"/>
  <c r="E43" i="1"/>
  <c r="F43" i="1"/>
  <c r="G43" i="1"/>
  <c r="H43" i="1"/>
  <c r="I43" i="1"/>
  <c r="J43" i="1"/>
  <c r="K43" i="1"/>
  <c r="L43" i="1"/>
  <c r="D43" i="1"/>
  <c r="M40" i="1"/>
  <c r="N40" i="1" s="1"/>
  <c r="O40" i="1" s="1"/>
  <c r="P40" i="1" s="1"/>
  <c r="Q40" i="1" s="1"/>
  <c r="R40" i="1" s="1"/>
  <c r="T41" i="1"/>
  <c r="X41" i="1" s="1"/>
  <c r="AB41" i="1" s="1"/>
  <c r="AF41" i="1" s="1"/>
  <c r="AJ41" i="1" s="1"/>
  <c r="U41" i="1"/>
  <c r="Y41" i="1" s="1"/>
  <c r="AC41" i="1" s="1"/>
  <c r="AG41" i="1" s="1"/>
  <c r="AK41" i="1" s="1"/>
  <c r="V41" i="1"/>
  <c r="Z41" i="1" s="1"/>
  <c r="AD41" i="1" s="1"/>
  <c r="AH41" i="1" s="1"/>
  <c r="AL41" i="1" s="1"/>
  <c r="S41" i="1"/>
  <c r="W41" i="1" s="1"/>
  <c r="AA41" i="1" s="1"/>
  <c r="AE41" i="1" s="1"/>
  <c r="AI41" i="1" s="1"/>
  <c r="M38" i="1"/>
  <c r="E81" i="1" l="1"/>
  <c r="I86" i="1"/>
  <c r="J86" i="1"/>
  <c r="J88" i="1" s="1"/>
  <c r="H84" i="1"/>
  <c r="F84" i="1"/>
  <c r="G86" i="1"/>
  <c r="G87" i="1" s="1"/>
  <c r="L84" i="1"/>
  <c r="D84" i="1"/>
  <c r="K85" i="1"/>
  <c r="J85" i="1"/>
  <c r="H86" i="1"/>
  <c r="H88" i="1" s="1"/>
  <c r="L82" i="1"/>
  <c r="I84" i="1"/>
  <c r="G81" i="1"/>
  <c r="D87" i="1"/>
  <c r="J84" i="1"/>
  <c r="S40" i="1"/>
  <c r="T40" i="1" s="1"/>
  <c r="U40" i="1" s="1"/>
  <c r="V40" i="1" s="1"/>
  <c r="W40" i="1" s="1"/>
  <c r="X40" i="1" s="1"/>
  <c r="Y40" i="1" s="1"/>
  <c r="Z40" i="1" s="1"/>
  <c r="AA40" i="1" s="1"/>
  <c r="AB40" i="1" s="1"/>
  <c r="AC40" i="1" s="1"/>
  <c r="AD40" i="1" s="1"/>
  <c r="AE40" i="1" s="1"/>
  <c r="AF40" i="1" s="1"/>
  <c r="AG40" i="1" s="1"/>
  <c r="AH40" i="1" s="1"/>
  <c r="AI40" i="1" s="1"/>
  <c r="AJ40" i="1" s="1"/>
  <c r="AK40" i="1" s="1"/>
  <c r="AL40" i="1" s="1"/>
  <c r="AM40" i="1" s="1"/>
  <c r="AN40" i="1" s="1"/>
  <c r="AO40" i="1" s="1"/>
  <c r="AP40" i="1" s="1"/>
  <c r="AQ40" i="1" s="1"/>
  <c r="AR40" i="1" s="1"/>
  <c r="AS40" i="1" s="1"/>
  <c r="AT40" i="1" s="1"/>
  <c r="AU40" i="1" s="1"/>
  <c r="AV40" i="1" s="1"/>
  <c r="AW40" i="1" s="1"/>
  <c r="AX40" i="1" s="1"/>
  <c r="AY40" i="1" s="1"/>
  <c r="AZ40" i="1" s="1"/>
  <c r="BA40" i="1" s="1"/>
  <c r="BB40" i="1" s="1"/>
  <c r="BC40" i="1" s="1"/>
  <c r="BD40" i="1" s="1"/>
  <c r="BE40" i="1" s="1"/>
  <c r="BF40" i="1" s="1"/>
  <c r="K81" i="1"/>
  <c r="H85" i="1"/>
  <c r="L85" i="1"/>
  <c r="L86" i="1"/>
  <c r="D81" i="1"/>
  <c r="K82" i="1"/>
  <c r="G85" i="1"/>
  <c r="K86" i="1"/>
  <c r="K49" i="1"/>
  <c r="K84" i="1"/>
  <c r="J81" i="1"/>
  <c r="R52" i="1"/>
  <c r="V52" i="1" s="1"/>
  <c r="Z52" i="1" s="1"/>
  <c r="AD52" i="1" s="1"/>
  <c r="AH52" i="1" s="1"/>
  <c r="AL52" i="1" s="1"/>
  <c r="AP52" i="1" s="1"/>
  <c r="AT52" i="1" s="1"/>
  <c r="AX52" i="1" s="1"/>
  <c r="BB52" i="1" s="1"/>
  <c r="BF52" i="1" s="1"/>
  <c r="E84" i="1"/>
  <c r="I85" i="1"/>
  <c r="H82" i="1"/>
  <c r="G82" i="1"/>
  <c r="F81" i="1"/>
  <c r="E86" i="1"/>
  <c r="F87" i="1" s="1"/>
  <c r="BJ16" i="1"/>
  <c r="BJ25" i="1"/>
  <c r="D23" i="4" s="1"/>
  <c r="BI14" i="1"/>
  <c r="BI22" i="1"/>
  <c r="BJ7" i="1"/>
  <c r="BJ22" i="1"/>
  <c r="BI20" i="1"/>
  <c r="BJ10" i="1"/>
  <c r="BJ20" i="1"/>
  <c r="BI7" i="1"/>
  <c r="BI18" i="1"/>
  <c r="BI26" i="1"/>
  <c r="C24" i="4" s="1"/>
  <c r="BJ14" i="1"/>
  <c r="BJ18" i="1"/>
  <c r="BJ26" i="1"/>
  <c r="D24" i="4" s="1"/>
  <c r="BI10" i="1"/>
  <c r="BI16" i="1"/>
  <c r="BI25" i="1"/>
  <c r="C23" i="4" s="1"/>
  <c r="G88" i="1"/>
  <c r="M51" i="1"/>
  <c r="H81" i="1"/>
  <c r="M42" i="1"/>
  <c r="M44" i="1" s="1"/>
  <c r="N38" i="1"/>
  <c r="O38" i="1" s="1"/>
  <c r="O42" i="1" s="1"/>
  <c r="I81" i="1"/>
  <c r="I82" i="1"/>
  <c r="J82" i="1"/>
  <c r="M48" i="1"/>
  <c r="M46" i="1" s="1"/>
  <c r="M47" i="1" s="1"/>
  <c r="Q52" i="1"/>
  <c r="P50" i="1"/>
  <c r="N48" i="1"/>
  <c r="N46" i="1" s="1"/>
  <c r="O50" i="1"/>
  <c r="L81" i="1"/>
  <c r="N51" i="1"/>
  <c r="T48" i="1"/>
  <c r="X48" i="1" s="1"/>
  <c r="AB48" i="1" s="1"/>
  <c r="AF48" i="1" s="1"/>
  <c r="AJ48" i="1" s="1"/>
  <c r="AN48" i="1" s="1"/>
  <c r="AR48" i="1" s="1"/>
  <c r="AV48" i="1" s="1"/>
  <c r="AZ48" i="1" s="1"/>
  <c r="BD48" i="1" s="1"/>
  <c r="P46" i="1"/>
  <c r="L49" i="1"/>
  <c r="O48" i="1"/>
  <c r="C20" i="4" l="1"/>
  <c r="C21" i="4" s="1"/>
  <c r="C22" i="4" s="1"/>
  <c r="BI93" i="1"/>
  <c r="D20" i="4"/>
  <c r="D21" i="4" s="1"/>
  <c r="D22" i="4" s="1"/>
  <c r="BJ93" i="1"/>
  <c r="BJ15" i="1"/>
  <c r="K87" i="1"/>
  <c r="BJ19" i="1"/>
  <c r="R50" i="1"/>
  <c r="V50" i="1" s="1"/>
  <c r="I87" i="1"/>
  <c r="BI17" i="1"/>
  <c r="BJ21" i="1"/>
  <c r="J87" i="1"/>
  <c r="BJ27" i="1"/>
  <c r="K88" i="1"/>
  <c r="Q48" i="1"/>
  <c r="U48" i="1" s="1"/>
  <c r="Y48" i="1" s="1"/>
  <c r="AC48" i="1" s="1"/>
  <c r="AG48" i="1" s="1"/>
  <c r="AK48" i="1" s="1"/>
  <c r="AO48" i="1" s="1"/>
  <c r="AS48" i="1" s="1"/>
  <c r="AW48" i="1" s="1"/>
  <c r="BA48" i="1" s="1"/>
  <c r="BE48" i="1" s="1"/>
  <c r="L88" i="1"/>
  <c r="BI27" i="1"/>
  <c r="C25" i="4" s="1"/>
  <c r="H87" i="1"/>
  <c r="L87" i="1"/>
  <c r="BI19" i="1"/>
  <c r="BI21" i="1"/>
  <c r="R48" i="1"/>
  <c r="V48" i="1" s="1"/>
  <c r="Z48" i="1" s="1"/>
  <c r="AD48" i="1" s="1"/>
  <c r="AH48" i="1" s="1"/>
  <c r="AL48" i="1" s="1"/>
  <c r="AP48" i="1" s="1"/>
  <c r="AT48" i="1" s="1"/>
  <c r="AX48" i="1" s="1"/>
  <c r="BB48" i="1" s="1"/>
  <c r="BF48" i="1" s="1"/>
  <c r="N80" i="1"/>
  <c r="N82" i="1" s="1"/>
  <c r="N47" i="1"/>
  <c r="P38" i="1"/>
  <c r="P80" i="1" s="1"/>
  <c r="M83" i="1"/>
  <c r="N42" i="1"/>
  <c r="N83" i="1" s="1"/>
  <c r="BJ9" i="1"/>
  <c r="BI15" i="1"/>
  <c r="BJ17" i="1"/>
  <c r="I88" i="1"/>
  <c r="E87" i="1"/>
  <c r="S50" i="1"/>
  <c r="O51" i="1"/>
  <c r="O83" i="1"/>
  <c r="T50" i="1"/>
  <c r="P51" i="1"/>
  <c r="U52" i="1"/>
  <c r="Q50" i="1"/>
  <c r="R51" i="1" s="1"/>
  <c r="M80" i="1"/>
  <c r="M43" i="1"/>
  <c r="S48" i="1"/>
  <c r="W48" i="1" s="1"/>
  <c r="AA48" i="1" s="1"/>
  <c r="AE48" i="1" s="1"/>
  <c r="AI48" i="1" s="1"/>
  <c r="AM48" i="1" s="1"/>
  <c r="AQ48" i="1" s="1"/>
  <c r="AU48" i="1" s="1"/>
  <c r="AY48" i="1" s="1"/>
  <c r="BC48" i="1" s="1"/>
  <c r="O46" i="1"/>
  <c r="T46" i="1"/>
  <c r="O44" i="1"/>
  <c r="D25" i="4" l="1"/>
  <c r="BJ29" i="1"/>
  <c r="D26" i="4" s="1"/>
  <c r="Q46" i="1"/>
  <c r="U46" i="1" s="1"/>
  <c r="Q38" i="1"/>
  <c r="Q42" i="1" s="1"/>
  <c r="Q83" i="1" s="1"/>
  <c r="P42" i="1"/>
  <c r="P83" i="1" s="1"/>
  <c r="P84" i="1" s="1"/>
  <c r="R46" i="1"/>
  <c r="V46" i="1" s="1"/>
  <c r="N86" i="1"/>
  <c r="N54" i="1" s="1"/>
  <c r="N81" i="1"/>
  <c r="N84" i="1"/>
  <c r="N85" i="1"/>
  <c r="M85" i="1"/>
  <c r="M84" i="1"/>
  <c r="O84" i="1"/>
  <c r="O85" i="1"/>
  <c r="N44" i="1"/>
  <c r="O43" i="1"/>
  <c r="N43" i="1"/>
  <c r="X50" i="1"/>
  <c r="T51" i="1"/>
  <c r="P82" i="1"/>
  <c r="M82" i="1"/>
  <c r="M86" i="1"/>
  <c r="M54" i="1" s="1"/>
  <c r="M81" i="1"/>
  <c r="Z50" i="1"/>
  <c r="Q51" i="1"/>
  <c r="Y52" i="1"/>
  <c r="U50" i="1"/>
  <c r="S51" i="1"/>
  <c r="W50" i="1"/>
  <c r="X46" i="1"/>
  <c r="O47" i="1"/>
  <c r="S46" i="1"/>
  <c r="O80" i="1"/>
  <c r="P47" i="1"/>
  <c r="Q47" i="1" l="1"/>
  <c r="P86" i="1"/>
  <c r="P54" i="1" s="1"/>
  <c r="M56" i="1"/>
  <c r="M57" i="1" s="1"/>
  <c r="M55" i="1"/>
  <c r="N55" i="1"/>
  <c r="N56" i="1"/>
  <c r="N57" i="1" s="1"/>
  <c r="P43" i="1"/>
  <c r="R38" i="1"/>
  <c r="S38" i="1" s="1"/>
  <c r="P44" i="1"/>
  <c r="Q80" i="1"/>
  <c r="Q82" i="1" s="1"/>
  <c r="P85" i="1"/>
  <c r="M7" i="1"/>
  <c r="M110" i="1"/>
  <c r="M88" i="1"/>
  <c r="M87" i="1"/>
  <c r="R47" i="1"/>
  <c r="N7" i="1"/>
  <c r="N110" i="1"/>
  <c r="N88" i="1"/>
  <c r="N87" i="1"/>
  <c r="Q84" i="1"/>
  <c r="Q85" i="1"/>
  <c r="O82" i="1"/>
  <c r="O86" i="1"/>
  <c r="O54" i="1" s="1"/>
  <c r="O81" i="1"/>
  <c r="P81" i="1"/>
  <c r="U51" i="1"/>
  <c r="AB50" i="1"/>
  <c r="X51" i="1"/>
  <c r="AD50" i="1"/>
  <c r="AA50" i="1"/>
  <c r="W51" i="1"/>
  <c r="V51" i="1"/>
  <c r="AC52" i="1"/>
  <c r="AG52" i="1" s="1"/>
  <c r="AK52" i="1" s="1"/>
  <c r="AO52" i="1" s="1"/>
  <c r="AS52" i="1" s="1"/>
  <c r="AW52" i="1" s="1"/>
  <c r="BA52" i="1" s="1"/>
  <c r="Y50" i="1"/>
  <c r="Z51" i="1" s="1"/>
  <c r="AB46" i="1"/>
  <c r="Z46" i="1"/>
  <c r="V47" i="1"/>
  <c r="Y46" i="1"/>
  <c r="U47" i="1"/>
  <c r="S47" i="1"/>
  <c r="W46" i="1"/>
  <c r="X47" i="1" s="1"/>
  <c r="Q43" i="1"/>
  <c r="Q44" i="1"/>
  <c r="T47" i="1"/>
  <c r="N96" i="1" l="1"/>
  <c r="M96" i="1"/>
  <c r="M73" i="1" s="1"/>
  <c r="BK73" i="1" s="1"/>
  <c r="E39" i="4" s="1"/>
  <c r="M102" i="1"/>
  <c r="M112" i="1" s="1"/>
  <c r="N94" i="1"/>
  <c r="N74" i="1" s="1"/>
  <c r="N22" i="1"/>
  <c r="N71" i="1" s="1"/>
  <c r="Q86" i="1"/>
  <c r="Q54" i="1" s="1"/>
  <c r="Q56" i="1" s="1"/>
  <c r="Q57" i="1" s="1"/>
  <c r="L66" i="1"/>
  <c r="M94" i="1"/>
  <c r="M74" i="1" s="1"/>
  <c r="M22" i="1"/>
  <c r="M71" i="1" s="1"/>
  <c r="P110" i="1"/>
  <c r="O55" i="1"/>
  <c r="O56" i="1"/>
  <c r="O57" i="1" s="1"/>
  <c r="P55" i="1"/>
  <c r="P56" i="1"/>
  <c r="P57" i="1" s="1"/>
  <c r="P7" i="1"/>
  <c r="Q81" i="1"/>
  <c r="P88" i="1"/>
  <c r="R80" i="1"/>
  <c r="R82" i="1" s="1"/>
  <c r="R42" i="1"/>
  <c r="R83" i="1" s="1"/>
  <c r="R84" i="1" s="1"/>
  <c r="P87" i="1"/>
  <c r="M106" i="1"/>
  <c r="M116" i="1" s="1"/>
  <c r="N104" i="1"/>
  <c r="N106" i="1"/>
  <c r="N102" i="1"/>
  <c r="M104" i="1"/>
  <c r="O7" i="1"/>
  <c r="O96" i="1" s="1"/>
  <c r="O73" i="1" s="1"/>
  <c r="O110" i="1"/>
  <c r="O87" i="1"/>
  <c r="O88" i="1"/>
  <c r="BK7" i="1"/>
  <c r="BK9" i="1" s="1"/>
  <c r="AE50" i="1"/>
  <c r="AA51" i="1"/>
  <c r="AC50" i="1"/>
  <c r="Y51" i="1"/>
  <c r="AH50" i="1"/>
  <c r="AF50" i="1"/>
  <c r="AB51" i="1"/>
  <c r="BE52" i="1"/>
  <c r="W47" i="1"/>
  <c r="AA46" i="1"/>
  <c r="AC46" i="1"/>
  <c r="Y47" i="1"/>
  <c r="Z47" i="1"/>
  <c r="AD46" i="1"/>
  <c r="T38" i="1"/>
  <c r="S42" i="1"/>
  <c r="S83" i="1" s="1"/>
  <c r="S80" i="1"/>
  <c r="AF46" i="1"/>
  <c r="AB47" i="1"/>
  <c r="Z103" i="1"/>
  <c r="AD103" i="1" s="1"/>
  <c r="AH103" i="1" s="1"/>
  <c r="AL103" i="1" s="1"/>
  <c r="AP103" i="1" s="1"/>
  <c r="AT103" i="1" s="1"/>
  <c r="AX103" i="1" s="1"/>
  <c r="BB103" i="1" s="1"/>
  <c r="BF103" i="1" s="1"/>
  <c r="X103" i="1"/>
  <c r="AB103" i="1" s="1"/>
  <c r="AF103" i="1" s="1"/>
  <c r="AJ103" i="1" s="1"/>
  <c r="AN103" i="1" s="1"/>
  <c r="AR103" i="1" s="1"/>
  <c r="AV103" i="1" s="1"/>
  <c r="AZ103" i="1" s="1"/>
  <c r="BD103" i="1" s="1"/>
  <c r="Y103" i="1"/>
  <c r="AC103" i="1" s="1"/>
  <c r="AG103" i="1" s="1"/>
  <c r="AK103" i="1" s="1"/>
  <c r="AO103" i="1" s="1"/>
  <c r="AS103" i="1" s="1"/>
  <c r="AW103" i="1" s="1"/>
  <c r="BA103" i="1" s="1"/>
  <c r="BE103" i="1" s="1"/>
  <c r="W103" i="1"/>
  <c r="AA103" i="1" s="1"/>
  <c r="AE103" i="1" s="1"/>
  <c r="AI103" i="1" s="1"/>
  <c r="AM103" i="1" s="1"/>
  <c r="AQ103" i="1" s="1"/>
  <c r="AU103" i="1" s="1"/>
  <c r="AY103" i="1" s="1"/>
  <c r="BC103" i="1" s="1"/>
  <c r="T107" i="1"/>
  <c r="X107" i="1" s="1"/>
  <c r="AB107" i="1" s="1"/>
  <c r="AF107" i="1" s="1"/>
  <c r="AJ107" i="1" s="1"/>
  <c r="AN107" i="1" s="1"/>
  <c r="AR107" i="1" s="1"/>
  <c r="AV107" i="1" s="1"/>
  <c r="AZ107" i="1" s="1"/>
  <c r="BD107" i="1" s="1"/>
  <c r="U107" i="1"/>
  <c r="Y107" i="1" s="1"/>
  <c r="AC107" i="1" s="1"/>
  <c r="AG107" i="1" s="1"/>
  <c r="AK107" i="1" s="1"/>
  <c r="AO107" i="1" s="1"/>
  <c r="AS107" i="1" s="1"/>
  <c r="AW107" i="1" s="1"/>
  <c r="BA107" i="1" s="1"/>
  <c r="BE107" i="1" s="1"/>
  <c r="V107" i="1"/>
  <c r="Z107" i="1" s="1"/>
  <c r="AD107" i="1" s="1"/>
  <c r="AH107" i="1" s="1"/>
  <c r="AL107" i="1" s="1"/>
  <c r="AP107" i="1" s="1"/>
  <c r="AT107" i="1" s="1"/>
  <c r="AX107" i="1" s="1"/>
  <c r="BB107" i="1" s="1"/>
  <c r="BF107" i="1" s="1"/>
  <c r="S107" i="1"/>
  <c r="W107" i="1" s="1"/>
  <c r="AA107" i="1" s="1"/>
  <c r="AE107" i="1" s="1"/>
  <c r="AI107" i="1" s="1"/>
  <c r="AM107" i="1" s="1"/>
  <c r="AQ107" i="1" s="1"/>
  <c r="AU107" i="1" s="1"/>
  <c r="AY107" i="1" s="1"/>
  <c r="BC107" i="1" s="1"/>
  <c r="T105" i="1"/>
  <c r="X105" i="1" s="1"/>
  <c r="AB105" i="1" s="1"/>
  <c r="AF105" i="1" s="1"/>
  <c r="AJ105" i="1" s="1"/>
  <c r="AN105" i="1" s="1"/>
  <c r="AR105" i="1" s="1"/>
  <c r="AV105" i="1" s="1"/>
  <c r="AZ105" i="1" s="1"/>
  <c r="BD105" i="1" s="1"/>
  <c r="U105" i="1"/>
  <c r="Y105" i="1" s="1"/>
  <c r="AC105" i="1" s="1"/>
  <c r="AG105" i="1" s="1"/>
  <c r="AK105" i="1" s="1"/>
  <c r="AO105" i="1" s="1"/>
  <c r="AS105" i="1" s="1"/>
  <c r="AW105" i="1" s="1"/>
  <c r="BA105" i="1" s="1"/>
  <c r="BE105" i="1" s="1"/>
  <c r="V105" i="1"/>
  <c r="Z105" i="1" s="1"/>
  <c r="AD105" i="1" s="1"/>
  <c r="AH105" i="1" s="1"/>
  <c r="AL105" i="1" s="1"/>
  <c r="AP105" i="1" s="1"/>
  <c r="AT105" i="1" s="1"/>
  <c r="AX105" i="1" s="1"/>
  <c r="BB105" i="1" s="1"/>
  <c r="BF105" i="1" s="1"/>
  <c r="S105" i="1"/>
  <c r="W105" i="1" s="1"/>
  <c r="AA105" i="1" s="1"/>
  <c r="AE105" i="1" s="1"/>
  <c r="AI105" i="1" s="1"/>
  <c r="AM105" i="1" s="1"/>
  <c r="AQ105" i="1" s="1"/>
  <c r="AU105" i="1" s="1"/>
  <c r="AY105" i="1" s="1"/>
  <c r="BC105" i="1" s="1"/>
  <c r="C104" i="1"/>
  <c r="D104" i="1"/>
  <c r="E104" i="1"/>
  <c r="F104" i="1"/>
  <c r="G104" i="1"/>
  <c r="H104" i="1"/>
  <c r="I104" i="1"/>
  <c r="J104" i="1"/>
  <c r="K104" i="1"/>
  <c r="L104" i="1"/>
  <c r="C106" i="1"/>
  <c r="D106" i="1"/>
  <c r="E106" i="1"/>
  <c r="F106" i="1"/>
  <c r="G106" i="1"/>
  <c r="H106" i="1"/>
  <c r="I106" i="1"/>
  <c r="J106" i="1"/>
  <c r="K106" i="1"/>
  <c r="L106" i="1"/>
  <c r="D102" i="1"/>
  <c r="E102" i="1"/>
  <c r="F102" i="1"/>
  <c r="G102" i="1"/>
  <c r="H102" i="1"/>
  <c r="I102" i="1"/>
  <c r="J102" i="1"/>
  <c r="K102" i="1"/>
  <c r="L102" i="1"/>
  <c r="C102" i="1"/>
  <c r="L117" i="1"/>
  <c r="K117" i="1"/>
  <c r="D117" i="1"/>
  <c r="E117" i="1"/>
  <c r="F117" i="1"/>
  <c r="G117" i="1"/>
  <c r="H117" i="1"/>
  <c r="I117" i="1"/>
  <c r="J117" i="1"/>
  <c r="C117" i="1"/>
  <c r="P96" i="1" l="1"/>
  <c r="P73" i="1" s="1"/>
  <c r="Q110" i="1"/>
  <c r="R81" i="1"/>
  <c r="Q87" i="1"/>
  <c r="Q88" i="1"/>
  <c r="N73" i="1"/>
  <c r="Q7" i="1"/>
  <c r="Q104" i="1" s="1"/>
  <c r="Q55" i="1"/>
  <c r="P104" i="1"/>
  <c r="P114" i="1" s="1"/>
  <c r="BK22" i="1"/>
  <c r="R86" i="1"/>
  <c r="R54" i="1" s="1"/>
  <c r="R56" i="1" s="1"/>
  <c r="R57" i="1" s="1"/>
  <c r="O94" i="1"/>
  <c r="O74" i="1" s="1"/>
  <c r="O22" i="1"/>
  <c r="O71" i="1" s="1"/>
  <c r="O102" i="1"/>
  <c r="O112" i="1" s="1"/>
  <c r="P94" i="1"/>
  <c r="P74" i="1" s="1"/>
  <c r="P22" i="1"/>
  <c r="P71" i="1" s="1"/>
  <c r="P106" i="1"/>
  <c r="P116" i="1" s="1"/>
  <c r="P102" i="1"/>
  <c r="P112" i="1" s="1"/>
  <c r="R85" i="1"/>
  <c r="R44" i="1"/>
  <c r="R43" i="1"/>
  <c r="O106" i="1"/>
  <c r="O116" i="1" s="1"/>
  <c r="O104" i="1"/>
  <c r="O114" i="1" s="1"/>
  <c r="N112" i="1"/>
  <c r="N116" i="1"/>
  <c r="S85" i="1"/>
  <c r="S84" i="1"/>
  <c r="N114" i="1"/>
  <c r="M114" i="1"/>
  <c r="AF51" i="1"/>
  <c r="AJ50" i="1"/>
  <c r="AG50" i="1"/>
  <c r="AH51" i="1" s="1"/>
  <c r="AC51" i="1"/>
  <c r="AD51" i="1"/>
  <c r="S86" i="1"/>
  <c r="S54" i="1" s="1"/>
  <c r="S81" i="1"/>
  <c r="S82" i="1"/>
  <c r="AL50" i="1"/>
  <c r="AI50" i="1"/>
  <c r="AE51" i="1"/>
  <c r="AD47" i="1"/>
  <c r="AH46" i="1"/>
  <c r="AJ46" i="1"/>
  <c r="AG46" i="1"/>
  <c r="AC47" i="1"/>
  <c r="S43" i="1"/>
  <c r="S44" i="1"/>
  <c r="AE46" i="1"/>
  <c r="AF47" i="1" s="1"/>
  <c r="AA47" i="1"/>
  <c r="U38" i="1"/>
  <c r="T42" i="1"/>
  <c r="T83" i="1" s="1"/>
  <c r="T80" i="1"/>
  <c r="L125" i="1"/>
  <c r="L124" i="1"/>
  <c r="L123" i="1"/>
  <c r="L122" i="1"/>
  <c r="AB121" i="1"/>
  <c r="AC121" i="1"/>
  <c r="AD121" i="1"/>
  <c r="AE121" i="1"/>
  <c r="AF121" i="1"/>
  <c r="AG121" i="1"/>
  <c r="AH121" i="1"/>
  <c r="AI121" i="1"/>
  <c r="AJ121" i="1"/>
  <c r="AK121" i="1"/>
  <c r="AL121" i="1"/>
  <c r="AM121" i="1"/>
  <c r="AN121" i="1"/>
  <c r="AO121" i="1"/>
  <c r="AP121" i="1"/>
  <c r="AQ121" i="1"/>
  <c r="AR121" i="1"/>
  <c r="AS121" i="1"/>
  <c r="AT121" i="1"/>
  <c r="AU121" i="1"/>
  <c r="AV121" i="1"/>
  <c r="AW121" i="1"/>
  <c r="AX121" i="1"/>
  <c r="AY121" i="1"/>
  <c r="AZ121" i="1"/>
  <c r="BA121" i="1"/>
  <c r="BB121" i="1"/>
  <c r="BC121" i="1"/>
  <c r="BD121" i="1"/>
  <c r="BE121" i="1"/>
  <c r="BF121" i="1"/>
  <c r="AA121" i="1"/>
  <c r="L119" i="1"/>
  <c r="L120" i="1"/>
  <c r="D115" i="1"/>
  <c r="E115" i="1"/>
  <c r="F115" i="1"/>
  <c r="G115" i="1"/>
  <c r="H115" i="1"/>
  <c r="I115" i="1"/>
  <c r="J115" i="1"/>
  <c r="K115" i="1"/>
  <c r="L115" i="1"/>
  <c r="C115" i="1"/>
  <c r="D113" i="1"/>
  <c r="E113" i="1"/>
  <c r="F113" i="1"/>
  <c r="G113" i="1"/>
  <c r="H113" i="1"/>
  <c r="I113" i="1"/>
  <c r="J113" i="1"/>
  <c r="K113" i="1"/>
  <c r="L113" i="1"/>
  <c r="C113" i="1"/>
  <c r="K111" i="1"/>
  <c r="L111" i="1"/>
  <c r="D111" i="1"/>
  <c r="E111" i="1"/>
  <c r="F111" i="1"/>
  <c r="G111" i="1"/>
  <c r="H111" i="1"/>
  <c r="I111" i="1"/>
  <c r="J111" i="1"/>
  <c r="C111" i="1"/>
  <c r="D27" i="1"/>
  <c r="E27" i="1"/>
  <c r="F27" i="1"/>
  <c r="G27" i="1"/>
  <c r="H27" i="1"/>
  <c r="I27" i="1"/>
  <c r="J27" i="1"/>
  <c r="K27" i="1"/>
  <c r="L27" i="1"/>
  <c r="C27" i="1"/>
  <c r="M8" i="1"/>
  <c r="N8" i="1"/>
  <c r="O8" i="1"/>
  <c r="P8" i="1"/>
  <c r="M9" i="1"/>
  <c r="N9" i="1"/>
  <c r="O9" i="1"/>
  <c r="P9" i="1"/>
  <c r="D19" i="1"/>
  <c r="D107" i="1" s="1"/>
  <c r="E19" i="1"/>
  <c r="E107" i="1" s="1"/>
  <c r="F19" i="1"/>
  <c r="F107" i="1" s="1"/>
  <c r="G19" i="1"/>
  <c r="G107" i="1" s="1"/>
  <c r="H19" i="1"/>
  <c r="H107" i="1" s="1"/>
  <c r="I19" i="1"/>
  <c r="I107" i="1" s="1"/>
  <c r="J19" i="1"/>
  <c r="J107" i="1" s="1"/>
  <c r="K19" i="1"/>
  <c r="K107" i="1" s="1"/>
  <c r="L19" i="1"/>
  <c r="L107" i="1" s="1"/>
  <c r="C19" i="1"/>
  <c r="C107" i="1" s="1"/>
  <c r="D15" i="1"/>
  <c r="D103" i="1" s="1"/>
  <c r="E15" i="1"/>
  <c r="E103" i="1" s="1"/>
  <c r="F15" i="1"/>
  <c r="F103" i="1" s="1"/>
  <c r="G15" i="1"/>
  <c r="G103" i="1" s="1"/>
  <c r="H15" i="1"/>
  <c r="H103" i="1" s="1"/>
  <c r="I15" i="1"/>
  <c r="I103" i="1" s="1"/>
  <c r="J15" i="1"/>
  <c r="J103" i="1" s="1"/>
  <c r="K15" i="1"/>
  <c r="K103" i="1" s="1"/>
  <c r="L15" i="1"/>
  <c r="L103" i="1" s="1"/>
  <c r="C15" i="1"/>
  <c r="C103" i="1" s="1"/>
  <c r="D17" i="1"/>
  <c r="D105" i="1" s="1"/>
  <c r="E17" i="1"/>
  <c r="E105" i="1" s="1"/>
  <c r="F17" i="1"/>
  <c r="F105" i="1" s="1"/>
  <c r="G17" i="1"/>
  <c r="G105" i="1" s="1"/>
  <c r="H17" i="1"/>
  <c r="H105" i="1" s="1"/>
  <c r="I17" i="1"/>
  <c r="I105" i="1" s="1"/>
  <c r="J17" i="1"/>
  <c r="J105" i="1" s="1"/>
  <c r="K17" i="1"/>
  <c r="K105" i="1" s="1"/>
  <c r="L17" i="1"/>
  <c r="L105" i="1" s="1"/>
  <c r="C17" i="1"/>
  <c r="C105" i="1" s="1"/>
  <c r="D21" i="1"/>
  <c r="E21" i="1"/>
  <c r="F21" i="1"/>
  <c r="G21" i="1"/>
  <c r="H21" i="1"/>
  <c r="I21" i="1"/>
  <c r="J21" i="1"/>
  <c r="K21" i="1"/>
  <c r="L21" i="1"/>
  <c r="C21" i="1"/>
  <c r="H9" i="1"/>
  <c r="I9" i="1"/>
  <c r="J9" i="1"/>
  <c r="K9" i="1"/>
  <c r="L9" i="1"/>
  <c r="E8" i="1"/>
  <c r="F8" i="1"/>
  <c r="G8" i="1"/>
  <c r="H8" i="1"/>
  <c r="I8" i="1"/>
  <c r="J8" i="1"/>
  <c r="K8" i="1"/>
  <c r="L8" i="1"/>
  <c r="D8" i="1"/>
  <c r="G9" i="1"/>
  <c r="D11" i="1"/>
  <c r="D12" i="1" s="1"/>
  <c r="D90" i="1" s="1"/>
  <c r="E11" i="1"/>
  <c r="E12" i="1" s="1"/>
  <c r="E90" i="1" s="1"/>
  <c r="F11" i="1"/>
  <c r="F12" i="1" s="1"/>
  <c r="F90" i="1" s="1"/>
  <c r="G11" i="1"/>
  <c r="H11" i="1"/>
  <c r="H12" i="1" s="1"/>
  <c r="H90" i="1" s="1"/>
  <c r="I11" i="1"/>
  <c r="I12" i="1" s="1"/>
  <c r="I90" i="1" s="1"/>
  <c r="J11" i="1"/>
  <c r="J12" i="1" s="1"/>
  <c r="J90" i="1" s="1"/>
  <c r="K11" i="1"/>
  <c r="L11" i="1"/>
  <c r="L12" i="1" s="1"/>
  <c r="L90" i="1" s="1"/>
  <c r="C11" i="1"/>
  <c r="E20" i="4" l="1"/>
  <c r="E21" i="4" s="1"/>
  <c r="E22" i="4" s="1"/>
  <c r="BK93" i="1"/>
  <c r="Q8" i="1"/>
  <c r="Q106" i="1"/>
  <c r="Q116" i="1" s="1"/>
  <c r="Q22" i="1"/>
  <c r="Q71" i="1" s="1"/>
  <c r="Q9" i="1"/>
  <c r="Q102" i="1"/>
  <c r="Q94" i="1"/>
  <c r="Q74" i="1" s="1"/>
  <c r="Q96" i="1"/>
  <c r="Q73" i="1" s="1"/>
  <c r="R87" i="1"/>
  <c r="R55" i="1"/>
  <c r="R110" i="1"/>
  <c r="X121" i="1"/>
  <c r="R88" i="1"/>
  <c r="R7" i="1"/>
  <c r="R102" i="1" s="1"/>
  <c r="R112" i="1" s="1"/>
  <c r="S56" i="1"/>
  <c r="S57" i="1" s="1"/>
  <c r="S55" i="1"/>
  <c r="R8" i="1"/>
  <c r="K28" i="1"/>
  <c r="I28" i="1"/>
  <c r="H28" i="1"/>
  <c r="R104" i="1"/>
  <c r="R114" i="1" s="1"/>
  <c r="BL7" i="1"/>
  <c r="BL9" i="1" s="1"/>
  <c r="Y121" i="1"/>
  <c r="K12" i="1"/>
  <c r="K90" i="1" s="1"/>
  <c r="Q114" i="1"/>
  <c r="G12" i="1"/>
  <c r="G90" i="1" s="1"/>
  <c r="BJ11" i="1"/>
  <c r="BJ12" i="1" s="1"/>
  <c r="Q112" i="1"/>
  <c r="C12" i="1"/>
  <c r="C90" i="1" s="1"/>
  <c r="BI11" i="1"/>
  <c r="BI12" i="1" s="1"/>
  <c r="G28" i="1"/>
  <c r="T85" i="1"/>
  <c r="T84" i="1"/>
  <c r="S7" i="1"/>
  <c r="S110" i="1"/>
  <c r="S88" i="1"/>
  <c r="S87" i="1"/>
  <c r="R106" i="1"/>
  <c r="AP50" i="1"/>
  <c r="AK50" i="1"/>
  <c r="AG51" i="1"/>
  <c r="AN50" i="1"/>
  <c r="AJ51" i="1"/>
  <c r="AM50" i="1"/>
  <c r="AI51" i="1"/>
  <c r="T82" i="1"/>
  <c r="T86" i="1"/>
  <c r="T54" i="1" s="1"/>
  <c r="T81" i="1"/>
  <c r="W121" i="1"/>
  <c r="O121" i="1"/>
  <c r="BF125" i="1"/>
  <c r="AX125" i="1"/>
  <c r="AP125" i="1"/>
  <c r="AH125" i="1"/>
  <c r="AY124" i="1"/>
  <c r="AQ124" i="1"/>
  <c r="AI124" i="1"/>
  <c r="AA124" i="1"/>
  <c r="AZ123" i="1"/>
  <c r="AR123" i="1"/>
  <c r="AJ123" i="1"/>
  <c r="AB123" i="1"/>
  <c r="BA122" i="1"/>
  <c r="BA91" i="1" s="1"/>
  <c r="AS122" i="1"/>
  <c r="AS91" i="1" s="1"/>
  <c r="AK122" i="1"/>
  <c r="AK91" i="1" s="1"/>
  <c r="AC122" i="1"/>
  <c r="AC91" i="1" s="1"/>
  <c r="AG47" i="1"/>
  <c r="AK46" i="1"/>
  <c r="V121" i="1"/>
  <c r="N121" i="1"/>
  <c r="BE125" i="1"/>
  <c r="AW125" i="1"/>
  <c r="AO125" i="1"/>
  <c r="AG125" i="1"/>
  <c r="BF124" i="1"/>
  <c r="AX124" i="1"/>
  <c r="AP124" i="1"/>
  <c r="AH124" i="1"/>
  <c r="AY123" i="1"/>
  <c r="AQ123" i="1"/>
  <c r="AI123" i="1"/>
  <c r="AA123" i="1"/>
  <c r="AZ122" i="1"/>
  <c r="AZ91" i="1" s="1"/>
  <c r="AR122" i="1"/>
  <c r="AR91" i="1" s="1"/>
  <c r="AJ122" i="1"/>
  <c r="AJ91" i="1" s="1"/>
  <c r="AB122" i="1"/>
  <c r="AB91" i="1" s="1"/>
  <c r="T43" i="1"/>
  <c r="T44" i="1"/>
  <c r="U121" i="1"/>
  <c r="M120" i="1"/>
  <c r="N120" i="1" s="1"/>
  <c r="O120" i="1" s="1"/>
  <c r="P120" i="1" s="1"/>
  <c r="Q120" i="1" s="1"/>
  <c r="R120" i="1" s="1"/>
  <c r="S120" i="1" s="1"/>
  <c r="T120" i="1" s="1"/>
  <c r="U120" i="1" s="1"/>
  <c r="V120" i="1" s="1"/>
  <c r="W120" i="1" s="1"/>
  <c r="X120" i="1" s="1"/>
  <c r="Y120" i="1" s="1"/>
  <c r="Z120" i="1" s="1"/>
  <c r="AA120" i="1" s="1"/>
  <c r="AB120" i="1" s="1"/>
  <c r="AC120" i="1" s="1"/>
  <c r="AD120" i="1" s="1"/>
  <c r="AE120" i="1" s="1"/>
  <c r="AF120" i="1" s="1"/>
  <c r="AG120" i="1" s="1"/>
  <c r="AH120" i="1" s="1"/>
  <c r="AI120" i="1" s="1"/>
  <c r="AJ120" i="1" s="1"/>
  <c r="AK120" i="1" s="1"/>
  <c r="AL120" i="1" s="1"/>
  <c r="AM120" i="1" s="1"/>
  <c r="AN120" i="1" s="1"/>
  <c r="AO120" i="1" s="1"/>
  <c r="AP120" i="1" s="1"/>
  <c r="AQ120" i="1" s="1"/>
  <c r="AR120" i="1" s="1"/>
  <c r="AS120" i="1" s="1"/>
  <c r="AT120" i="1" s="1"/>
  <c r="AU120" i="1" s="1"/>
  <c r="AV120" i="1" s="1"/>
  <c r="AW120" i="1" s="1"/>
  <c r="AX120" i="1" s="1"/>
  <c r="AY120" i="1" s="1"/>
  <c r="AZ120" i="1" s="1"/>
  <c r="BA120" i="1" s="1"/>
  <c r="BB120" i="1" s="1"/>
  <c r="BC120" i="1" s="1"/>
  <c r="BD120" i="1" s="1"/>
  <c r="BE120" i="1" s="1"/>
  <c r="BF120" i="1" s="1"/>
  <c r="BD125" i="1"/>
  <c r="AV125" i="1"/>
  <c r="AN125" i="1"/>
  <c r="AF125" i="1"/>
  <c r="BE124" i="1"/>
  <c r="AW124" i="1"/>
  <c r="AO124" i="1"/>
  <c r="AG124" i="1"/>
  <c r="BF123" i="1"/>
  <c r="AX123" i="1"/>
  <c r="AP123" i="1"/>
  <c r="AH123" i="1"/>
  <c r="AY122" i="1"/>
  <c r="AY91" i="1" s="1"/>
  <c r="AQ122" i="1"/>
  <c r="AQ91" i="1" s="1"/>
  <c r="AI122" i="1"/>
  <c r="AI91" i="1" s="1"/>
  <c r="AA122" i="1"/>
  <c r="AA91" i="1" s="1"/>
  <c r="V38" i="1"/>
  <c r="U80" i="1"/>
  <c r="U42" i="1"/>
  <c r="U83" i="1" s="1"/>
  <c r="T121" i="1"/>
  <c r="BC125" i="1"/>
  <c r="AU125" i="1"/>
  <c r="AM125" i="1"/>
  <c r="AE125" i="1"/>
  <c r="BD124" i="1"/>
  <c r="AV124" i="1"/>
  <c r="AN124" i="1"/>
  <c r="AF124" i="1"/>
  <c r="BE123" i="1"/>
  <c r="AW123" i="1"/>
  <c r="AO123" i="1"/>
  <c r="AG123" i="1"/>
  <c r="BF122" i="1"/>
  <c r="BF91" i="1" s="1"/>
  <c r="AX122" i="1"/>
  <c r="AX91" i="1" s="1"/>
  <c r="AP122" i="1"/>
  <c r="AP91" i="1" s="1"/>
  <c r="AH122" i="1"/>
  <c r="AH91" i="1" s="1"/>
  <c r="AN46" i="1"/>
  <c r="M121" i="1"/>
  <c r="S121" i="1"/>
  <c r="BB125" i="1"/>
  <c r="AT125" i="1"/>
  <c r="AL125" i="1"/>
  <c r="AD125" i="1"/>
  <c r="BC124" i="1"/>
  <c r="AU124" i="1"/>
  <c r="AM124" i="1"/>
  <c r="AE124" i="1"/>
  <c r="BD123" i="1"/>
  <c r="AV123" i="1"/>
  <c r="AN123" i="1"/>
  <c r="AF123" i="1"/>
  <c r="BE122" i="1"/>
  <c r="BE91" i="1" s="1"/>
  <c r="AW122" i="1"/>
  <c r="AW91" i="1" s="1"/>
  <c r="AO122" i="1"/>
  <c r="AO91" i="1" s="1"/>
  <c r="AG122" i="1"/>
  <c r="AG91" i="1" s="1"/>
  <c r="AI46" i="1"/>
  <c r="AJ47" i="1" s="1"/>
  <c r="AE47" i="1"/>
  <c r="Z121" i="1"/>
  <c r="R121" i="1"/>
  <c r="BA125" i="1"/>
  <c r="AS125" i="1"/>
  <c r="AK125" i="1"/>
  <c r="AC125" i="1"/>
  <c r="BB124" i="1"/>
  <c r="AT124" i="1"/>
  <c r="AL124" i="1"/>
  <c r="AD124" i="1"/>
  <c r="BC123" i="1"/>
  <c r="AU123" i="1"/>
  <c r="AM123" i="1"/>
  <c r="AE123" i="1"/>
  <c r="BD122" i="1"/>
  <c r="BD91" i="1" s="1"/>
  <c r="AV122" i="1"/>
  <c r="AV91" i="1" s="1"/>
  <c r="AN122" i="1"/>
  <c r="AN91" i="1" s="1"/>
  <c r="AF122" i="1"/>
  <c r="AF91" i="1" s="1"/>
  <c r="AH47" i="1"/>
  <c r="AL46" i="1"/>
  <c r="Q121" i="1"/>
  <c r="AZ125" i="1"/>
  <c r="AR125" i="1"/>
  <c r="AJ125" i="1"/>
  <c r="AB125" i="1"/>
  <c r="BA124" i="1"/>
  <c r="AS124" i="1"/>
  <c r="AK124" i="1"/>
  <c r="AC124" i="1"/>
  <c r="BB123" i="1"/>
  <c r="AT123" i="1"/>
  <c r="AL123" i="1"/>
  <c r="AD123" i="1"/>
  <c r="BC122" i="1"/>
  <c r="BC91" i="1" s="1"/>
  <c r="AU122" i="1"/>
  <c r="AU91" i="1" s="1"/>
  <c r="AM122" i="1"/>
  <c r="AM91" i="1" s="1"/>
  <c r="AE122" i="1"/>
  <c r="AE91" i="1" s="1"/>
  <c r="P121" i="1"/>
  <c r="AY125" i="1"/>
  <c r="AQ125" i="1"/>
  <c r="AI125" i="1"/>
  <c r="AA125" i="1"/>
  <c r="AZ124" i="1"/>
  <c r="AR124" i="1"/>
  <c r="AJ124" i="1"/>
  <c r="AB124" i="1"/>
  <c r="BA123" i="1"/>
  <c r="AS123" i="1"/>
  <c r="AK123" i="1"/>
  <c r="AC123" i="1"/>
  <c r="BB122" i="1"/>
  <c r="BB91" i="1" s="1"/>
  <c r="AT122" i="1"/>
  <c r="AT91" i="1" s="1"/>
  <c r="AL122" i="1"/>
  <c r="AL91" i="1" s="1"/>
  <c r="AD122" i="1"/>
  <c r="AD91" i="1" s="1"/>
  <c r="E28" i="1"/>
  <c r="D28" i="1"/>
  <c r="H29" i="1"/>
  <c r="L28" i="1"/>
  <c r="J28" i="1"/>
  <c r="F28" i="1"/>
  <c r="G29" i="1"/>
  <c r="L29" i="1"/>
  <c r="K29" i="1"/>
  <c r="J29" i="1"/>
  <c r="I29" i="1"/>
  <c r="S96" i="1" l="1"/>
  <c r="R96" i="1"/>
  <c r="R73" i="1" s="1"/>
  <c r="S94" i="1"/>
  <c r="S74" i="1" s="1"/>
  <c r="S22" i="1"/>
  <c r="S71" i="1" s="1"/>
  <c r="R94" i="1"/>
  <c r="R74" i="1" s="1"/>
  <c r="R22" i="1"/>
  <c r="R9" i="1"/>
  <c r="T56" i="1"/>
  <c r="T57" i="1" s="1"/>
  <c r="T55" i="1"/>
  <c r="S104" i="1"/>
  <c r="S114" i="1" s="1"/>
  <c r="Q132" i="1"/>
  <c r="S9" i="1"/>
  <c r="S8" i="1"/>
  <c r="S102" i="1"/>
  <c r="S106" i="1"/>
  <c r="T7" i="1"/>
  <c r="T110" i="1"/>
  <c r="T87" i="1"/>
  <c r="T88" i="1"/>
  <c r="U85" i="1"/>
  <c r="U84" i="1"/>
  <c r="R116" i="1"/>
  <c r="U82" i="1"/>
  <c r="U86" i="1"/>
  <c r="U54" i="1" s="1"/>
  <c r="U81" i="1"/>
  <c r="AO50" i="1"/>
  <c r="AP51" i="1" s="1"/>
  <c r="AK51" i="1"/>
  <c r="AQ50" i="1"/>
  <c r="AM51" i="1"/>
  <c r="AL51" i="1"/>
  <c r="AT50" i="1"/>
  <c r="AR50" i="1"/>
  <c r="AN51" i="1"/>
  <c r="U44" i="1"/>
  <c r="U43" i="1"/>
  <c r="AL47" i="1"/>
  <c r="AP46" i="1"/>
  <c r="M132" i="1"/>
  <c r="M123" i="1"/>
  <c r="N123" i="1" s="1"/>
  <c r="O123" i="1" s="1"/>
  <c r="P123" i="1" s="1"/>
  <c r="Q123" i="1" s="1"/>
  <c r="R123" i="1" s="1"/>
  <c r="S123" i="1" s="1"/>
  <c r="T123" i="1" s="1"/>
  <c r="U123" i="1" s="1"/>
  <c r="V123" i="1" s="1"/>
  <c r="W123" i="1" s="1"/>
  <c r="X123" i="1" s="1"/>
  <c r="Y123" i="1" s="1"/>
  <c r="Z123" i="1" s="1"/>
  <c r="M124" i="1"/>
  <c r="M125" i="1"/>
  <c r="N125" i="1" s="1"/>
  <c r="O125" i="1" s="1"/>
  <c r="P125" i="1" s="1"/>
  <c r="Q125" i="1" s="1"/>
  <c r="R125" i="1" s="1"/>
  <c r="S125" i="1" s="1"/>
  <c r="T125" i="1" s="1"/>
  <c r="U125" i="1" s="1"/>
  <c r="V125" i="1" s="1"/>
  <c r="W125" i="1" s="1"/>
  <c r="X125" i="1" s="1"/>
  <c r="Y125" i="1" s="1"/>
  <c r="Z125" i="1" s="1"/>
  <c r="M122" i="1"/>
  <c r="N122" i="1" s="1"/>
  <c r="O122" i="1" s="1"/>
  <c r="P122" i="1" s="1"/>
  <c r="Q122" i="1" s="1"/>
  <c r="R122" i="1" s="1"/>
  <c r="S122" i="1" s="1"/>
  <c r="T122" i="1" s="1"/>
  <c r="U122" i="1" s="1"/>
  <c r="V122" i="1" s="1"/>
  <c r="W122" i="1" s="1"/>
  <c r="X122" i="1" s="1"/>
  <c r="AO46" i="1"/>
  <c r="AK47" i="1"/>
  <c r="W38" i="1"/>
  <c r="V42" i="1"/>
  <c r="V83" i="1" s="1"/>
  <c r="V80" i="1"/>
  <c r="AR46" i="1"/>
  <c r="O132" i="1"/>
  <c r="P132" i="1"/>
  <c r="AI47" i="1"/>
  <c r="AM46" i="1"/>
  <c r="AN47" i="1" s="1"/>
  <c r="N132" i="1"/>
  <c r="M119" i="1"/>
  <c r="N119" i="1" s="1"/>
  <c r="O119" i="1" s="1"/>
  <c r="P119" i="1" s="1"/>
  <c r="Q119" i="1" s="1"/>
  <c r="R119" i="1" s="1"/>
  <c r="S119" i="1" s="1"/>
  <c r="T119" i="1" s="1"/>
  <c r="U119" i="1" s="1"/>
  <c r="V119" i="1" s="1"/>
  <c r="W119" i="1" s="1"/>
  <c r="X119" i="1" s="1"/>
  <c r="Y119" i="1" s="1"/>
  <c r="Z119" i="1" s="1"/>
  <c r="AA119" i="1" s="1"/>
  <c r="AB119" i="1" s="1"/>
  <c r="AC119" i="1" s="1"/>
  <c r="AD119" i="1" s="1"/>
  <c r="AE119" i="1" s="1"/>
  <c r="AF119" i="1" s="1"/>
  <c r="AG119" i="1" s="1"/>
  <c r="AH119" i="1" s="1"/>
  <c r="AI119" i="1" s="1"/>
  <c r="AJ119" i="1" s="1"/>
  <c r="AK119" i="1" s="1"/>
  <c r="AL119" i="1" s="1"/>
  <c r="AM119" i="1" s="1"/>
  <c r="AN119" i="1" s="1"/>
  <c r="AO119" i="1" s="1"/>
  <c r="AP119" i="1" s="1"/>
  <c r="AQ119" i="1" s="1"/>
  <c r="AR119" i="1" s="1"/>
  <c r="AS119" i="1" s="1"/>
  <c r="AT119" i="1" s="1"/>
  <c r="AU119" i="1" s="1"/>
  <c r="AV119" i="1" s="1"/>
  <c r="AW119" i="1" s="1"/>
  <c r="AX119" i="1" s="1"/>
  <c r="AY119" i="1" s="1"/>
  <c r="AZ119" i="1" s="1"/>
  <c r="BA119" i="1" s="1"/>
  <c r="BB119" i="1" s="1"/>
  <c r="BC119" i="1" s="1"/>
  <c r="BD119" i="1" s="1"/>
  <c r="BE119" i="1" s="1"/>
  <c r="BF119" i="1" s="1"/>
  <c r="N25" i="1" l="1"/>
  <c r="N72" i="1"/>
  <c r="M25" i="1"/>
  <c r="BK25" i="1" s="1"/>
  <c r="E23" i="4" s="1"/>
  <c r="M72" i="1"/>
  <c r="BL22" i="1"/>
  <c r="R71" i="1"/>
  <c r="Q25" i="1"/>
  <c r="Q72" i="1"/>
  <c r="P25" i="1"/>
  <c r="P72" i="1"/>
  <c r="O25" i="1"/>
  <c r="O72" i="1"/>
  <c r="S73" i="1"/>
  <c r="T96" i="1"/>
  <c r="T73" i="1" s="1"/>
  <c r="T94" i="1"/>
  <c r="T74" i="1" s="1"/>
  <c r="T22" i="1"/>
  <c r="T71" i="1" s="1"/>
  <c r="U56" i="1"/>
  <c r="U57" i="1" s="1"/>
  <c r="U55" i="1"/>
  <c r="T104" i="1"/>
  <c r="T114" i="1" s="1"/>
  <c r="T9" i="1"/>
  <c r="T106" i="1"/>
  <c r="T116" i="1" s="1"/>
  <c r="T131" i="1" s="1"/>
  <c r="T18" i="1" s="1"/>
  <c r="T19" i="1" s="1"/>
  <c r="N91" i="1"/>
  <c r="N11" i="1" s="1"/>
  <c r="N10" i="1" s="1"/>
  <c r="N60" i="1" s="1"/>
  <c r="Y122" i="1"/>
  <c r="X91" i="1"/>
  <c r="T102" i="1"/>
  <c r="T112" i="1" s="1"/>
  <c r="T91" i="1"/>
  <c r="T11" i="1" s="1"/>
  <c r="O91" i="1"/>
  <c r="O11" i="1" s="1"/>
  <c r="Q91" i="1"/>
  <c r="Q11" i="1" s="1"/>
  <c r="W91" i="1"/>
  <c r="U91" i="1"/>
  <c r="M91" i="1"/>
  <c r="M11" i="1" s="1"/>
  <c r="V91" i="1"/>
  <c r="S91" i="1"/>
  <c r="S11" i="1" s="1"/>
  <c r="S10" i="1" s="1"/>
  <c r="S60" i="1" s="1"/>
  <c r="T8" i="1"/>
  <c r="R91" i="1"/>
  <c r="R11" i="1" s="1"/>
  <c r="P91" i="1"/>
  <c r="P11" i="1" s="1"/>
  <c r="P129" i="1"/>
  <c r="P14" i="1" s="1"/>
  <c r="M129" i="1"/>
  <c r="M14" i="1" s="1"/>
  <c r="S128" i="1"/>
  <c r="T128" i="1"/>
  <c r="S112" i="1"/>
  <c r="P131" i="1"/>
  <c r="P18" i="1" s="1"/>
  <c r="P19" i="1" s="1"/>
  <c r="M128" i="1"/>
  <c r="O128" i="1"/>
  <c r="U7" i="1"/>
  <c r="U96" i="1" s="1"/>
  <c r="U110" i="1"/>
  <c r="U128" i="1" s="1"/>
  <c r="U87" i="1"/>
  <c r="U88" i="1"/>
  <c r="P128" i="1"/>
  <c r="Q128" i="1"/>
  <c r="R131" i="1"/>
  <c r="R18" i="1" s="1"/>
  <c r="R19" i="1" s="1"/>
  <c r="R132" i="1"/>
  <c r="N128" i="1"/>
  <c r="Q129" i="1"/>
  <c r="Q14" i="1" s="1"/>
  <c r="N129" i="1"/>
  <c r="N14" i="1" s="1"/>
  <c r="N131" i="1"/>
  <c r="N18" i="1" s="1"/>
  <c r="N19" i="1" s="1"/>
  <c r="O129" i="1"/>
  <c r="O14" i="1" s="1"/>
  <c r="N124" i="1"/>
  <c r="M130" i="1"/>
  <c r="M16" i="1" s="1"/>
  <c r="R129" i="1"/>
  <c r="R14" i="1" s="1"/>
  <c r="R128" i="1"/>
  <c r="O131" i="1"/>
  <c r="O18" i="1" s="1"/>
  <c r="Q131" i="1"/>
  <c r="Q18" i="1" s="1"/>
  <c r="Q19" i="1" s="1"/>
  <c r="V84" i="1"/>
  <c r="V85" i="1"/>
  <c r="S116" i="1"/>
  <c r="S131" i="1" s="1"/>
  <c r="S18" i="1" s="1"/>
  <c r="M131" i="1"/>
  <c r="M18" i="1" s="1"/>
  <c r="AU50" i="1"/>
  <c r="AQ51" i="1"/>
  <c r="V82" i="1"/>
  <c r="V86" i="1"/>
  <c r="V54" i="1" s="1"/>
  <c r="V81" i="1"/>
  <c r="AV50" i="1"/>
  <c r="AR51" i="1"/>
  <c r="AS50" i="1"/>
  <c r="AT51" i="1" s="1"/>
  <c r="AO51" i="1"/>
  <c r="AX50" i="1"/>
  <c r="AM47" i="1"/>
  <c r="AQ46" i="1"/>
  <c r="AR47" i="1" s="1"/>
  <c r="V43" i="1"/>
  <c r="V44" i="1"/>
  <c r="X38" i="1"/>
  <c r="W42" i="1"/>
  <c r="W83" i="1" s="1"/>
  <c r="W80" i="1"/>
  <c r="AP47" i="1"/>
  <c r="AT46" i="1"/>
  <c r="AO47" i="1"/>
  <c r="AS46" i="1"/>
  <c r="AV46" i="1"/>
  <c r="F20" i="4" l="1"/>
  <c r="F21" i="4" s="1"/>
  <c r="F22" i="4" s="1"/>
  <c r="BL93" i="1"/>
  <c r="R25" i="1"/>
  <c r="BL25" i="1" s="1"/>
  <c r="F23" i="4" s="1"/>
  <c r="R72" i="1"/>
  <c r="U73" i="1"/>
  <c r="U8" i="1"/>
  <c r="U9" i="1"/>
  <c r="N12" i="1"/>
  <c r="U104" i="1"/>
  <c r="U114" i="1" s="1"/>
  <c r="U94" i="1"/>
  <c r="U74" i="1" s="1"/>
  <c r="U22" i="1"/>
  <c r="U71" i="1" s="1"/>
  <c r="U106" i="1"/>
  <c r="U116" i="1" s="1"/>
  <c r="U131" i="1" s="1"/>
  <c r="U18" i="1" s="1"/>
  <c r="N63" i="1"/>
  <c r="V55" i="1"/>
  <c r="V56" i="1"/>
  <c r="V57" i="1" s="1"/>
  <c r="S63" i="1"/>
  <c r="M61" i="1"/>
  <c r="M66" i="1"/>
  <c r="U11" i="1"/>
  <c r="U12" i="1" s="1"/>
  <c r="U102" i="1"/>
  <c r="U112" i="1" s="1"/>
  <c r="U129" i="1" s="1"/>
  <c r="U14" i="1" s="1"/>
  <c r="T12" i="1"/>
  <c r="T10" i="1"/>
  <c r="T60" i="1" s="1"/>
  <c r="Q10" i="1"/>
  <c r="Q60" i="1" s="1"/>
  <c r="Q12" i="1"/>
  <c r="O12" i="1"/>
  <c r="O10" i="1"/>
  <c r="O60" i="1" s="1"/>
  <c r="BL11" i="1"/>
  <c r="BL12" i="1" s="1"/>
  <c r="M10" i="1"/>
  <c r="M12" i="1"/>
  <c r="BK11" i="1"/>
  <c r="BK12" i="1" s="1"/>
  <c r="S12" i="1"/>
  <c r="R10" i="1"/>
  <c r="R12" i="1"/>
  <c r="P10" i="1"/>
  <c r="P60" i="1" s="1"/>
  <c r="P12" i="1"/>
  <c r="Z122" i="1"/>
  <c r="Z91" i="1" s="1"/>
  <c r="Y91" i="1"/>
  <c r="S19" i="1"/>
  <c r="R15" i="1"/>
  <c r="BK14" i="1"/>
  <c r="BK15" i="1" s="1"/>
  <c r="M15" i="1"/>
  <c r="M20" i="1"/>
  <c r="M17" i="1"/>
  <c r="N15" i="1"/>
  <c r="T129" i="1"/>
  <c r="T14" i="1" s="1"/>
  <c r="T132" i="1"/>
  <c r="S129" i="1"/>
  <c r="S14" i="1" s="1"/>
  <c r="S132" i="1"/>
  <c r="O124" i="1"/>
  <c r="N130" i="1"/>
  <c r="N16" i="1" s="1"/>
  <c r="Q15" i="1"/>
  <c r="BK18" i="1"/>
  <c r="BK19" i="1" s="1"/>
  <c r="M19" i="1"/>
  <c r="BL14" i="1"/>
  <c r="BL15" i="1" s="1"/>
  <c r="O15" i="1"/>
  <c r="W84" i="1"/>
  <c r="W85" i="1"/>
  <c r="BL18" i="1"/>
  <c r="BL19" i="1" s="1"/>
  <c r="O19" i="1"/>
  <c r="V7" i="1"/>
  <c r="V110" i="1"/>
  <c r="V128" i="1" s="1"/>
  <c r="V88" i="1"/>
  <c r="V87" i="1"/>
  <c r="P15" i="1"/>
  <c r="AY50" i="1"/>
  <c r="AU51" i="1"/>
  <c r="AZ50" i="1"/>
  <c r="AV51" i="1"/>
  <c r="AW50" i="1"/>
  <c r="AS51" i="1"/>
  <c r="W82" i="1"/>
  <c r="W86" i="1"/>
  <c r="W54" i="1" s="1"/>
  <c r="W81" i="1"/>
  <c r="BB50" i="1"/>
  <c r="Y38" i="1"/>
  <c r="X80" i="1"/>
  <c r="X42" i="1"/>
  <c r="X83" i="1" s="1"/>
  <c r="AS47" i="1"/>
  <c r="AW46" i="1"/>
  <c r="AU46" i="1"/>
  <c r="AQ47" i="1"/>
  <c r="AZ46" i="1"/>
  <c r="W43" i="1"/>
  <c r="W44" i="1"/>
  <c r="AT47" i="1"/>
  <c r="AX46" i="1"/>
  <c r="T25" i="1" l="1"/>
  <c r="T72" i="1"/>
  <c r="M26" i="1"/>
  <c r="S25" i="1"/>
  <c r="S72" i="1"/>
  <c r="V96" i="1"/>
  <c r="V73" i="1" s="1"/>
  <c r="V94" i="1"/>
  <c r="V74" i="1" s="1"/>
  <c r="V22" i="1"/>
  <c r="V71" i="1" s="1"/>
  <c r="BM22" i="1"/>
  <c r="V106" i="1"/>
  <c r="V116" i="1" s="1"/>
  <c r="V131" i="1" s="1"/>
  <c r="V18" i="1" s="1"/>
  <c r="V19" i="1" s="1"/>
  <c r="U10" i="1"/>
  <c r="U60" i="1" s="1"/>
  <c r="U63" i="1" s="1"/>
  <c r="N17" i="1"/>
  <c r="N61" i="1"/>
  <c r="N62" i="1" s="1"/>
  <c r="N64" i="1" s="1"/>
  <c r="N66" i="1"/>
  <c r="T63" i="1"/>
  <c r="Q63" i="1"/>
  <c r="BK10" i="1"/>
  <c r="M60" i="1"/>
  <c r="W55" i="1"/>
  <c r="W56" i="1"/>
  <c r="W57" i="1" s="1"/>
  <c r="P63" i="1"/>
  <c r="O63" i="1"/>
  <c r="V11" i="1"/>
  <c r="BL10" i="1"/>
  <c r="R60" i="1"/>
  <c r="U132" i="1"/>
  <c r="V8" i="1"/>
  <c r="V9" i="1"/>
  <c r="V102" i="1"/>
  <c r="U15" i="1"/>
  <c r="U19" i="1"/>
  <c r="BM7" i="1"/>
  <c r="BM9" i="1" s="1"/>
  <c r="T15" i="1"/>
  <c r="V104" i="1"/>
  <c r="S15" i="1"/>
  <c r="N20" i="1"/>
  <c r="N68" i="1" s="1"/>
  <c r="N69" i="1" s="1"/>
  <c r="N75" i="1" s="1"/>
  <c r="W7" i="1"/>
  <c r="W110" i="1"/>
  <c r="W128" i="1" s="1"/>
  <c r="W88" i="1"/>
  <c r="W87" i="1"/>
  <c r="V112" i="1"/>
  <c r="V129" i="1" s="1"/>
  <c r="V14" i="1" s="1"/>
  <c r="X84" i="1"/>
  <c r="X85" i="1"/>
  <c r="BK16" i="1"/>
  <c r="BK17" i="1" s="1"/>
  <c r="P124" i="1"/>
  <c r="O130" i="1"/>
  <c r="O16" i="1" s="1"/>
  <c r="M21" i="1"/>
  <c r="AW51" i="1"/>
  <c r="BA50" i="1"/>
  <c r="BB51" i="1" s="1"/>
  <c r="X82" i="1"/>
  <c r="X81" i="1"/>
  <c r="X86" i="1"/>
  <c r="X54" i="1" s="1"/>
  <c r="AY51" i="1"/>
  <c r="BC50" i="1"/>
  <c r="AZ51" i="1"/>
  <c r="BD50" i="1"/>
  <c r="AX51" i="1"/>
  <c r="BF50" i="1"/>
  <c r="AX47" i="1"/>
  <c r="BB46" i="1"/>
  <c r="AY46" i="1"/>
  <c r="AZ47" i="1" s="1"/>
  <c r="AU47" i="1"/>
  <c r="BA46" i="1"/>
  <c r="AW47" i="1"/>
  <c r="X43" i="1"/>
  <c r="X44" i="1"/>
  <c r="AV47" i="1"/>
  <c r="BD46" i="1"/>
  <c r="Z38" i="1"/>
  <c r="Y80" i="1"/>
  <c r="Y42" i="1"/>
  <c r="Y83" i="1" s="1"/>
  <c r="G20" i="4" l="1"/>
  <c r="G21" i="4" s="1"/>
  <c r="G22" i="4" s="1"/>
  <c r="BM93" i="1"/>
  <c r="U25" i="1"/>
  <c r="U72" i="1"/>
  <c r="W96" i="1"/>
  <c r="W73" i="1" s="1"/>
  <c r="W94" i="1"/>
  <c r="W74" i="1" s="1"/>
  <c r="W22" i="1"/>
  <c r="W71" i="1" s="1"/>
  <c r="BK20" i="1"/>
  <c r="BK21" i="1" s="1"/>
  <c r="N26" i="1"/>
  <c r="N27" i="1" s="1"/>
  <c r="R63" i="1"/>
  <c r="X55" i="1"/>
  <c r="X56" i="1"/>
  <c r="X57" i="1" s="1"/>
  <c r="O61" i="1"/>
  <c r="O62" i="1" s="1"/>
  <c r="O64" i="1" s="1"/>
  <c r="O66" i="1"/>
  <c r="M62" i="1"/>
  <c r="M64" i="1" s="1"/>
  <c r="M63" i="1"/>
  <c r="W106" i="1"/>
  <c r="W116" i="1" s="1"/>
  <c r="W131" i="1" s="1"/>
  <c r="W18" i="1" s="1"/>
  <c r="W11" i="1"/>
  <c r="W102" i="1"/>
  <c r="W112" i="1" s="1"/>
  <c r="W129" i="1" s="1"/>
  <c r="W14" i="1" s="1"/>
  <c r="V15" i="1"/>
  <c r="BM14" i="1"/>
  <c r="BM15" i="1" s="1"/>
  <c r="W8" i="1"/>
  <c r="N21" i="1"/>
  <c r="V10" i="1"/>
  <c r="BM11" i="1"/>
  <c r="BM12" i="1" s="1"/>
  <c r="V12" i="1"/>
  <c r="W9" i="1"/>
  <c r="O17" i="1"/>
  <c r="O20" i="1"/>
  <c r="W104" i="1"/>
  <c r="Q124" i="1"/>
  <c r="P130" i="1"/>
  <c r="P16" i="1" s="1"/>
  <c r="BM18" i="1"/>
  <c r="BM19" i="1" s="1"/>
  <c r="X7" i="1"/>
  <c r="X110" i="1"/>
  <c r="X128" i="1" s="1"/>
  <c r="X88" i="1"/>
  <c r="X87" i="1"/>
  <c r="Y84" i="1"/>
  <c r="Y85" i="1"/>
  <c r="M27" i="1"/>
  <c r="V114" i="1"/>
  <c r="BA51" i="1"/>
  <c r="BE50" i="1"/>
  <c r="BC51" i="1"/>
  <c r="Y81" i="1"/>
  <c r="Y82" i="1"/>
  <c r="Y86" i="1"/>
  <c r="Y54" i="1" s="1"/>
  <c r="BD51" i="1"/>
  <c r="Y44" i="1"/>
  <c r="Y43" i="1"/>
  <c r="AA38" i="1"/>
  <c r="Z42" i="1"/>
  <c r="Z83" i="1" s="1"/>
  <c r="Z80" i="1"/>
  <c r="BE46" i="1"/>
  <c r="BA47" i="1"/>
  <c r="AY47" i="1"/>
  <c r="BC46" i="1"/>
  <c r="BC47" i="1" s="1"/>
  <c r="BB47" i="1"/>
  <c r="BF46" i="1"/>
  <c r="O26" i="1" l="1"/>
  <c r="O68" i="1"/>
  <c r="O69" i="1" s="1"/>
  <c r="O75" i="1" s="1"/>
  <c r="X96" i="1"/>
  <c r="X73" i="1" s="1"/>
  <c r="X94" i="1"/>
  <c r="X74" i="1" s="1"/>
  <c r="X22" i="1"/>
  <c r="X71" i="1" s="1"/>
  <c r="Y56" i="1"/>
  <c r="Y57" i="1" s="1"/>
  <c r="Y55" i="1"/>
  <c r="P61" i="1"/>
  <c r="P62" i="1" s="1"/>
  <c r="P64" i="1" s="1"/>
  <c r="P66" i="1"/>
  <c r="BM10" i="1"/>
  <c r="V60" i="1"/>
  <c r="X11" i="1"/>
  <c r="X12" i="1" s="1"/>
  <c r="W15" i="1"/>
  <c r="Z85" i="1"/>
  <c r="Z84" i="1"/>
  <c r="W10" i="1"/>
  <c r="W60" i="1" s="1"/>
  <c r="W12" i="1"/>
  <c r="M28" i="1"/>
  <c r="M29" i="1"/>
  <c r="X8" i="1"/>
  <c r="BK26" i="1"/>
  <c r="P17" i="1"/>
  <c r="P20" i="1"/>
  <c r="N28" i="1"/>
  <c r="N29" i="1"/>
  <c r="X9" i="1"/>
  <c r="X106" i="1"/>
  <c r="R124" i="1"/>
  <c r="Q130" i="1"/>
  <c r="Q16" i="1" s="1"/>
  <c r="Y7" i="1"/>
  <c r="Y110" i="1"/>
  <c r="Y128" i="1" s="1"/>
  <c r="Y88" i="1"/>
  <c r="Y87" i="1"/>
  <c r="O21" i="1"/>
  <c r="W19" i="1"/>
  <c r="X10" i="1"/>
  <c r="X60" i="1" s="1"/>
  <c r="X104" i="1"/>
  <c r="W114" i="1"/>
  <c r="V132" i="1"/>
  <c r="X102" i="1"/>
  <c r="BF51" i="1"/>
  <c r="BE51" i="1"/>
  <c r="Z86" i="1"/>
  <c r="Z54" i="1" s="1"/>
  <c r="Z81" i="1"/>
  <c r="Z82" i="1"/>
  <c r="BF47" i="1"/>
  <c r="BE47" i="1"/>
  <c r="Z44" i="1"/>
  <c r="Z43" i="1"/>
  <c r="AB38" i="1"/>
  <c r="AA42" i="1"/>
  <c r="AA83" i="1" s="1"/>
  <c r="AA80" i="1"/>
  <c r="BD47" i="1"/>
  <c r="BK27" i="1" l="1"/>
  <c r="E24" i="4"/>
  <c r="V25" i="1"/>
  <c r="V72" i="1"/>
  <c r="P26" i="1"/>
  <c r="P68" i="1"/>
  <c r="P69" i="1" s="1"/>
  <c r="P75" i="1" s="1"/>
  <c r="Y96" i="1"/>
  <c r="Y73" i="1" s="1"/>
  <c r="Y106" i="1"/>
  <c r="Y116" i="1" s="1"/>
  <c r="Y131" i="1" s="1"/>
  <c r="Y18" i="1" s="1"/>
  <c r="Y19" i="1" s="1"/>
  <c r="Y94" i="1"/>
  <c r="Y74" i="1" s="1"/>
  <c r="Y22" i="1"/>
  <c r="Y71" i="1" s="1"/>
  <c r="Y11" i="1"/>
  <c r="Y10" i="1" s="1"/>
  <c r="Y60" i="1" s="1"/>
  <c r="X63" i="1"/>
  <c r="V63" i="1"/>
  <c r="W63" i="1"/>
  <c r="Z56" i="1"/>
  <c r="Z57" i="1" s="1"/>
  <c r="Z55" i="1"/>
  <c r="Q61" i="1"/>
  <c r="Q62" i="1" s="1"/>
  <c r="Q64" i="1" s="1"/>
  <c r="Q66" i="1"/>
  <c r="Y102" i="1"/>
  <c r="P21" i="1"/>
  <c r="P27" i="1"/>
  <c r="AA85" i="1"/>
  <c r="AA84" i="1"/>
  <c r="X112" i="1"/>
  <c r="Z7" i="1"/>
  <c r="Z110" i="1"/>
  <c r="Z128" i="1" s="1"/>
  <c r="Z88" i="1"/>
  <c r="Z87" i="1"/>
  <c r="S124" i="1"/>
  <c r="R130" i="1"/>
  <c r="R16" i="1" s="1"/>
  <c r="O27" i="1"/>
  <c r="Y8" i="1"/>
  <c r="X116" i="1"/>
  <c r="X131" i="1" s="1"/>
  <c r="X18" i="1" s="1"/>
  <c r="W132" i="1"/>
  <c r="BM25" i="1"/>
  <c r="G23" i="4" s="1"/>
  <c r="Q17" i="1"/>
  <c r="Q20" i="1"/>
  <c r="Y9" i="1"/>
  <c r="Y104" i="1"/>
  <c r="X114" i="1"/>
  <c r="Y112" i="1"/>
  <c r="Y129" i="1" s="1"/>
  <c r="Y14" i="1" s="1"/>
  <c r="Y15" i="1" s="1"/>
  <c r="AA86" i="1"/>
  <c r="AA54" i="1" s="1"/>
  <c r="AA81" i="1"/>
  <c r="AA82" i="1"/>
  <c r="AC38" i="1"/>
  <c r="AB42" i="1"/>
  <c r="AB83" i="1" s="1"/>
  <c r="AB80" i="1"/>
  <c r="AA44" i="1"/>
  <c r="AA43" i="1"/>
  <c r="E25" i="4" l="1"/>
  <c r="BK29" i="1"/>
  <c r="E26" i="4" s="1"/>
  <c r="Q26" i="1"/>
  <c r="Q68" i="1"/>
  <c r="Q69" i="1" s="1"/>
  <c r="Q75" i="1" s="1"/>
  <c r="W25" i="1"/>
  <c r="W72" i="1"/>
  <c r="Z8" i="1"/>
  <c r="Z106" i="1"/>
  <c r="Z116" i="1" s="1"/>
  <c r="Z131" i="1" s="1"/>
  <c r="Z18" i="1" s="1"/>
  <c r="Z96" i="1"/>
  <c r="Z73" i="1" s="1"/>
  <c r="Z94" i="1"/>
  <c r="Z74" i="1" s="1"/>
  <c r="Z22" i="1"/>
  <c r="Z71" i="1" s="1"/>
  <c r="Z11" i="1"/>
  <c r="Z10" i="1" s="1"/>
  <c r="Z60" i="1" s="1"/>
  <c r="AA56" i="1"/>
  <c r="AA57" i="1" s="1"/>
  <c r="AA55" i="1"/>
  <c r="Y63" i="1"/>
  <c r="Z9" i="1"/>
  <c r="R61" i="1"/>
  <c r="R62" i="1" s="1"/>
  <c r="R64" i="1" s="1"/>
  <c r="R66" i="1"/>
  <c r="Z104" i="1"/>
  <c r="Z114" i="1" s="1"/>
  <c r="Z102" i="1"/>
  <c r="Z112" i="1" s="1"/>
  <c r="X19" i="1"/>
  <c r="R17" i="1"/>
  <c r="R20" i="1"/>
  <c r="T124" i="1"/>
  <c r="S130" i="1"/>
  <c r="S16" i="1" s="1"/>
  <c r="Y114" i="1"/>
  <c r="X132" i="1"/>
  <c r="X129" i="1"/>
  <c r="X14" i="1" s="1"/>
  <c r="BL16" i="1"/>
  <c r="BL17" i="1" s="1"/>
  <c r="P28" i="1"/>
  <c r="P29" i="1"/>
  <c r="AB85" i="1"/>
  <c r="AB84" i="1"/>
  <c r="Q21" i="1"/>
  <c r="AA7" i="1"/>
  <c r="AA96" i="1" s="1"/>
  <c r="AA110" i="1"/>
  <c r="AA128" i="1" s="1"/>
  <c r="AA88" i="1"/>
  <c r="AA87" i="1"/>
  <c r="O28" i="1"/>
  <c r="O29" i="1"/>
  <c r="BN7" i="1"/>
  <c r="BN9" i="1" s="1"/>
  <c r="Y12" i="1"/>
  <c r="AB82" i="1"/>
  <c r="AB86" i="1"/>
  <c r="AB54" i="1" s="1"/>
  <c r="AB81" i="1"/>
  <c r="AB43" i="1"/>
  <c r="AB44" i="1"/>
  <c r="AD38" i="1"/>
  <c r="AC42" i="1"/>
  <c r="AC83" i="1" s="1"/>
  <c r="AC80" i="1"/>
  <c r="BN11" i="1" l="1"/>
  <c r="BN12" i="1" s="1"/>
  <c r="AA73" i="1"/>
  <c r="R26" i="1"/>
  <c r="R27" i="1" s="1"/>
  <c r="R68" i="1"/>
  <c r="R69" i="1" s="1"/>
  <c r="R75" i="1" s="1"/>
  <c r="X25" i="1"/>
  <c r="X72" i="1"/>
  <c r="AB96" i="1"/>
  <c r="AB73" i="1" s="1"/>
  <c r="AA104" i="1"/>
  <c r="AA114" i="1" s="1"/>
  <c r="AA130" i="1" s="1"/>
  <c r="AA16" i="1" s="1"/>
  <c r="AA61" i="1" s="1"/>
  <c r="AA94" i="1"/>
  <c r="AA74" i="1" s="1"/>
  <c r="AA22" i="1"/>
  <c r="AA71" i="1" s="1"/>
  <c r="AB56" i="1"/>
  <c r="AB57" i="1" s="1"/>
  <c r="AB55" i="1"/>
  <c r="AA11" i="1"/>
  <c r="Z63" i="1"/>
  <c r="AA8" i="1"/>
  <c r="AA9" i="1"/>
  <c r="AA106" i="1"/>
  <c r="AA116" i="1" s="1"/>
  <c r="AA131" i="1" s="1"/>
  <c r="S61" i="1"/>
  <c r="S62" i="1" s="1"/>
  <c r="S64" i="1" s="1"/>
  <c r="S66" i="1"/>
  <c r="Z19" i="1"/>
  <c r="BN18" i="1"/>
  <c r="BN19" i="1" s="1"/>
  <c r="S17" i="1"/>
  <c r="S20" i="1"/>
  <c r="Z132" i="1"/>
  <c r="Z129" i="1"/>
  <c r="Z14" i="1" s="1"/>
  <c r="Z15" i="1" s="1"/>
  <c r="U124" i="1"/>
  <c r="T130" i="1"/>
  <c r="T16" i="1" s="1"/>
  <c r="AB7" i="1"/>
  <c r="AB104" i="1" s="1"/>
  <c r="AB110" i="1"/>
  <c r="AB128" i="1" s="1"/>
  <c r="AB88" i="1"/>
  <c r="AB87" i="1"/>
  <c r="X15" i="1"/>
  <c r="BN14" i="1"/>
  <c r="BN15" i="1" s="1"/>
  <c r="R21" i="1"/>
  <c r="BL20" i="1"/>
  <c r="BL21" i="1" s="1"/>
  <c r="Q27" i="1"/>
  <c r="Z12" i="1"/>
  <c r="Y132" i="1"/>
  <c r="AC85" i="1"/>
  <c r="AC84" i="1"/>
  <c r="AA102" i="1"/>
  <c r="AB106" i="1"/>
  <c r="AC82" i="1"/>
  <c r="AC86" i="1"/>
  <c r="AC54" i="1" s="1"/>
  <c r="AC81" i="1"/>
  <c r="AC44" i="1"/>
  <c r="AC43" i="1"/>
  <c r="AE38" i="1"/>
  <c r="AD42" i="1"/>
  <c r="AD83" i="1" s="1"/>
  <c r="AD80" i="1"/>
  <c r="S26" i="1" l="1"/>
  <c r="S68" i="1"/>
  <c r="S69" i="1" s="1"/>
  <c r="S75" i="1" s="1"/>
  <c r="Y25" i="1"/>
  <c r="Y72" i="1"/>
  <c r="Z25" i="1"/>
  <c r="Z72" i="1"/>
  <c r="AB94" i="1"/>
  <c r="AB74" i="1" s="1"/>
  <c r="AB22" i="1"/>
  <c r="AB71" i="1" s="1"/>
  <c r="AC56" i="1"/>
  <c r="AC57" i="1" s="1"/>
  <c r="AC55" i="1"/>
  <c r="T61" i="1"/>
  <c r="T62" i="1" s="1"/>
  <c r="T64" i="1" s="1"/>
  <c r="T66" i="1"/>
  <c r="AA18" i="1"/>
  <c r="AA19" i="1" s="1"/>
  <c r="AB11" i="1"/>
  <c r="AB12" i="1" s="1"/>
  <c r="AA66" i="1"/>
  <c r="AB102" i="1"/>
  <c r="AA10" i="1"/>
  <c r="AA60" i="1" s="1"/>
  <c r="AA12" i="1"/>
  <c r="S21" i="1"/>
  <c r="BN25" i="1"/>
  <c r="H23" i="4" s="1"/>
  <c r="AA17" i="1"/>
  <c r="AD85" i="1"/>
  <c r="AD84" i="1"/>
  <c r="AB116" i="1"/>
  <c r="AB131" i="1" s="1"/>
  <c r="AB18" i="1" s="1"/>
  <c r="AB19" i="1" s="1"/>
  <c r="AB114" i="1"/>
  <c r="AB130" i="1" s="1"/>
  <c r="AB16" i="1" s="1"/>
  <c r="AB61" i="1" s="1"/>
  <c r="R29" i="1"/>
  <c r="R28" i="1"/>
  <c r="AA112" i="1"/>
  <c r="T17" i="1"/>
  <c r="T20" i="1"/>
  <c r="AB8" i="1"/>
  <c r="AC7" i="1"/>
  <c r="AC110" i="1"/>
  <c r="AC128" i="1" s="1"/>
  <c r="AC88" i="1"/>
  <c r="AC87" i="1"/>
  <c r="AB9" i="1"/>
  <c r="BL26" i="1"/>
  <c r="V124" i="1"/>
  <c r="U130" i="1"/>
  <c r="U16" i="1" s="1"/>
  <c r="Q29" i="1"/>
  <c r="Q28" i="1"/>
  <c r="AD82" i="1"/>
  <c r="AD86" i="1"/>
  <c r="AD54" i="1" s="1"/>
  <c r="AD81" i="1"/>
  <c r="AD43" i="1"/>
  <c r="AD44" i="1"/>
  <c r="AF38" i="1"/>
  <c r="AE42" i="1"/>
  <c r="AE83" i="1" s="1"/>
  <c r="AE80" i="1"/>
  <c r="BL27" i="1" l="1"/>
  <c r="F24" i="4"/>
  <c r="T26" i="1"/>
  <c r="T27" i="1" s="1"/>
  <c r="T68" i="1"/>
  <c r="T69" i="1" s="1"/>
  <c r="T75" i="1" s="1"/>
  <c r="AC96" i="1"/>
  <c r="AC73" i="1" s="1"/>
  <c r="AB66" i="1"/>
  <c r="AC94" i="1"/>
  <c r="AC74" i="1" s="1"/>
  <c r="AC22" i="1"/>
  <c r="AC71" i="1" s="1"/>
  <c r="AB10" i="1"/>
  <c r="AB60" i="1" s="1"/>
  <c r="U61" i="1"/>
  <c r="U62" i="1" s="1"/>
  <c r="U64" i="1" s="1"/>
  <c r="U66" i="1"/>
  <c r="AA62" i="1"/>
  <c r="AA64" i="1" s="1"/>
  <c r="AA63" i="1"/>
  <c r="AD55" i="1"/>
  <c r="AD56" i="1"/>
  <c r="AD57" i="1" s="1"/>
  <c r="AC104" i="1"/>
  <c r="AC114" i="1" s="1"/>
  <c r="AC130" i="1" s="1"/>
  <c r="AC16" i="1" s="1"/>
  <c r="AC61" i="1" s="1"/>
  <c r="AC11" i="1"/>
  <c r="AC9" i="1"/>
  <c r="AC102" i="1"/>
  <c r="AC112" i="1" s="1"/>
  <c r="AB17" i="1"/>
  <c r="AB112" i="1"/>
  <c r="AC106" i="1"/>
  <c r="S27" i="1"/>
  <c r="AC8" i="1"/>
  <c r="AA132" i="1"/>
  <c r="AA129" i="1"/>
  <c r="AA14" i="1" s="1"/>
  <c r="BO7" i="1"/>
  <c r="BO9" i="1" s="1"/>
  <c r="AE84" i="1"/>
  <c r="AE85" i="1"/>
  <c r="U17" i="1"/>
  <c r="U20" i="1"/>
  <c r="W124" i="1"/>
  <c r="V130" i="1"/>
  <c r="V16" i="1" s="1"/>
  <c r="AD7" i="1"/>
  <c r="AD110" i="1"/>
  <c r="AD128" i="1" s="1"/>
  <c r="AD88" i="1"/>
  <c r="AD87" i="1"/>
  <c r="T21" i="1"/>
  <c r="AE82" i="1"/>
  <c r="AE86" i="1"/>
  <c r="AE54" i="1" s="1"/>
  <c r="AE81" i="1"/>
  <c r="AD106" i="1"/>
  <c r="AE43" i="1"/>
  <c r="AE44" i="1"/>
  <c r="AG38" i="1"/>
  <c r="AF42" i="1"/>
  <c r="AF83" i="1" s="1"/>
  <c r="AF80" i="1"/>
  <c r="BL29" i="1" l="1"/>
  <c r="F26" i="4" s="1"/>
  <c r="F25" i="4"/>
  <c r="AA25" i="1"/>
  <c r="AA72" i="1"/>
  <c r="U26" i="1"/>
  <c r="U68" i="1"/>
  <c r="U69" i="1" s="1"/>
  <c r="U75" i="1" s="1"/>
  <c r="AD96" i="1"/>
  <c r="AD73" i="1" s="1"/>
  <c r="AD104" i="1"/>
  <c r="AD114" i="1" s="1"/>
  <c r="AD130" i="1" s="1"/>
  <c r="AD16" i="1" s="1"/>
  <c r="AD94" i="1"/>
  <c r="AD74" i="1" s="1"/>
  <c r="AD22" i="1"/>
  <c r="AB62" i="1"/>
  <c r="AB64" i="1" s="1"/>
  <c r="AB63" i="1"/>
  <c r="AD11" i="1"/>
  <c r="AD12" i="1" s="1"/>
  <c r="AC66" i="1"/>
  <c r="BM16" i="1"/>
  <c r="BM17" i="1" s="1"/>
  <c r="V61" i="1"/>
  <c r="V62" i="1" s="1"/>
  <c r="V64" i="1" s="1"/>
  <c r="V66" i="1"/>
  <c r="AE55" i="1"/>
  <c r="AE56" i="1"/>
  <c r="AE57" i="1" s="1"/>
  <c r="AD9" i="1"/>
  <c r="AD8" i="1"/>
  <c r="AD102" i="1"/>
  <c r="AD112" i="1" s="1"/>
  <c r="AC17" i="1"/>
  <c r="AC10" i="1"/>
  <c r="AC60" i="1" s="1"/>
  <c r="BO11" i="1"/>
  <c r="BO12" i="1" s="1"/>
  <c r="AC12" i="1"/>
  <c r="AB129" i="1"/>
  <c r="AB14" i="1" s="1"/>
  <c r="AB132" i="1"/>
  <c r="AC116" i="1"/>
  <c r="AC131" i="1" s="1"/>
  <c r="AC18" i="1" s="1"/>
  <c r="AD116" i="1"/>
  <c r="AD131" i="1" s="1"/>
  <c r="AD18" i="1" s="1"/>
  <c r="AD19" i="1" s="1"/>
  <c r="T29" i="1"/>
  <c r="T28" i="1"/>
  <c r="AA15" i="1"/>
  <c r="AA20" i="1"/>
  <c r="AE7" i="1"/>
  <c r="AE110" i="1"/>
  <c r="AE128" i="1" s="1"/>
  <c r="AE88" i="1"/>
  <c r="AE87" i="1"/>
  <c r="V17" i="1"/>
  <c r="V20" i="1"/>
  <c r="X124" i="1"/>
  <c r="W130" i="1"/>
  <c r="W16" i="1" s="1"/>
  <c r="U21" i="1"/>
  <c r="AF84" i="1"/>
  <c r="AF85" i="1"/>
  <c r="AC132" i="1"/>
  <c r="AC129" i="1"/>
  <c r="AC14" i="1" s="1"/>
  <c r="AC15" i="1" s="1"/>
  <c r="AD10" i="1"/>
  <c r="AD60" i="1" s="1"/>
  <c r="S29" i="1"/>
  <c r="S28" i="1"/>
  <c r="AF82" i="1"/>
  <c r="AF81" i="1"/>
  <c r="AF86" i="1"/>
  <c r="AF54" i="1" s="1"/>
  <c r="AF43" i="1"/>
  <c r="AF44" i="1"/>
  <c r="AH38" i="1"/>
  <c r="AG42" i="1"/>
  <c r="AG83" i="1" s="1"/>
  <c r="AG80" i="1"/>
  <c r="AB25" i="1" l="1"/>
  <c r="AB72" i="1"/>
  <c r="AA26" i="1"/>
  <c r="AA27" i="1" s="1"/>
  <c r="AA68" i="1"/>
  <c r="AA69" i="1" s="1"/>
  <c r="AA75" i="1" s="1"/>
  <c r="BO22" i="1"/>
  <c r="AD71" i="1"/>
  <c r="AC25" i="1"/>
  <c r="AC72" i="1"/>
  <c r="V26" i="1"/>
  <c r="V27" i="1" s="1"/>
  <c r="V68" i="1"/>
  <c r="V69" i="1" s="1"/>
  <c r="V75" i="1" s="1"/>
  <c r="AE96" i="1"/>
  <c r="AE73" i="1" s="1"/>
  <c r="AE94" i="1"/>
  <c r="AE74" i="1" s="1"/>
  <c r="AE22" i="1"/>
  <c r="AE71" i="1" s="1"/>
  <c r="AF55" i="1"/>
  <c r="AF56" i="1"/>
  <c r="AF57" i="1" s="1"/>
  <c r="AC62" i="1"/>
  <c r="AC64" i="1" s="1"/>
  <c r="AC63" i="1"/>
  <c r="AD17" i="1"/>
  <c r="AD61" i="1"/>
  <c r="AD62" i="1" s="1"/>
  <c r="AD64" i="1" s="1"/>
  <c r="AE11" i="1"/>
  <c r="AD66" i="1"/>
  <c r="AD63" i="1"/>
  <c r="W61" i="1"/>
  <c r="W62" i="1" s="1"/>
  <c r="W64" i="1" s="1"/>
  <c r="W66" i="1"/>
  <c r="AE9" i="1"/>
  <c r="AE8" i="1"/>
  <c r="AE104" i="1"/>
  <c r="AE114" i="1" s="1"/>
  <c r="AE130" i="1" s="1"/>
  <c r="AE16" i="1" s="1"/>
  <c r="AE61" i="1" s="1"/>
  <c r="AE102" i="1"/>
  <c r="AE112" i="1" s="1"/>
  <c r="AE129" i="1" s="1"/>
  <c r="AE14" i="1" s="1"/>
  <c r="AE106" i="1"/>
  <c r="AE116" i="1" s="1"/>
  <c r="AE131" i="1" s="1"/>
  <c r="AE18" i="1" s="1"/>
  <c r="AC19" i="1"/>
  <c r="BO18" i="1"/>
  <c r="BO19" i="1" s="1"/>
  <c r="AB15" i="1"/>
  <c r="AB20" i="1"/>
  <c r="AC20" i="1"/>
  <c r="AG84" i="1"/>
  <c r="AG85" i="1"/>
  <c r="AD132" i="1"/>
  <c r="AD129" i="1"/>
  <c r="AD14" i="1" s="1"/>
  <c r="BO14" i="1" s="1"/>
  <c r="BO15" i="1" s="1"/>
  <c r="W17" i="1"/>
  <c r="W20" i="1"/>
  <c r="BO10" i="1"/>
  <c r="U27" i="1"/>
  <c r="AF7" i="1"/>
  <c r="AF110" i="1"/>
  <c r="AF128" i="1" s="1"/>
  <c r="AF88" i="1"/>
  <c r="AF87" i="1"/>
  <c r="Y124" i="1"/>
  <c r="X130" i="1"/>
  <c r="X16" i="1" s="1"/>
  <c r="BO16" i="1"/>
  <c r="BO17" i="1" s="1"/>
  <c r="V21" i="1"/>
  <c r="AA21" i="1"/>
  <c r="AG81" i="1"/>
  <c r="AG82" i="1"/>
  <c r="AG86" i="1"/>
  <c r="AG54" i="1" s="1"/>
  <c r="AG43" i="1"/>
  <c r="AG44" i="1"/>
  <c r="AI38" i="1"/>
  <c r="AH42" i="1"/>
  <c r="AH83" i="1" s="1"/>
  <c r="AH80" i="1"/>
  <c r="I20" i="4" l="1"/>
  <c r="I21" i="4" s="1"/>
  <c r="I22" i="4" s="1"/>
  <c r="BO93" i="1"/>
  <c r="AD25" i="1"/>
  <c r="BO25" i="1" s="1"/>
  <c r="I23" i="4" s="1"/>
  <c r="AD72" i="1"/>
  <c r="AC21" i="1"/>
  <c r="AC68" i="1"/>
  <c r="AC69" i="1" s="1"/>
  <c r="AC75" i="1" s="1"/>
  <c r="AB21" i="1"/>
  <c r="AB68" i="1"/>
  <c r="AB69" i="1" s="1"/>
  <c r="AB75" i="1" s="1"/>
  <c r="W26" i="1"/>
  <c r="W68" i="1"/>
  <c r="W69" i="1" s="1"/>
  <c r="W75" i="1" s="1"/>
  <c r="AF96" i="1"/>
  <c r="AF73" i="1" s="1"/>
  <c r="AF94" i="1"/>
  <c r="AF74" i="1" s="1"/>
  <c r="AF22" i="1"/>
  <c r="AF71" i="1" s="1"/>
  <c r="AC26" i="1"/>
  <c r="AC27" i="1" s="1"/>
  <c r="AB26" i="1"/>
  <c r="AF11" i="1"/>
  <c r="AF10" i="1" s="1"/>
  <c r="AF60" i="1" s="1"/>
  <c r="AE66" i="1"/>
  <c r="AG56" i="1"/>
  <c r="AG57" i="1" s="1"/>
  <c r="AG55" i="1"/>
  <c r="X61" i="1"/>
  <c r="X62" i="1" s="1"/>
  <c r="X64" i="1" s="1"/>
  <c r="X66" i="1"/>
  <c r="AE19" i="1"/>
  <c r="AE17" i="1"/>
  <c r="AE15" i="1"/>
  <c r="Z124" i="1"/>
  <c r="Z130" i="1" s="1"/>
  <c r="Z16" i="1" s="1"/>
  <c r="Y130" i="1"/>
  <c r="Y16" i="1" s="1"/>
  <c r="AE132" i="1"/>
  <c r="X17" i="1"/>
  <c r="X20" i="1"/>
  <c r="AG7" i="1"/>
  <c r="AG110" i="1"/>
  <c r="AG128" i="1" s="1"/>
  <c r="AG88" i="1"/>
  <c r="AG87" i="1"/>
  <c r="V29" i="1"/>
  <c r="V28" i="1"/>
  <c r="AF8" i="1"/>
  <c r="AF102" i="1"/>
  <c r="W21" i="1"/>
  <c r="AH85" i="1"/>
  <c r="AH84" i="1"/>
  <c r="AD15" i="1"/>
  <c r="AD20" i="1"/>
  <c r="BM26" i="1"/>
  <c r="AF106" i="1"/>
  <c r="AF9" i="1"/>
  <c r="AF104" i="1"/>
  <c r="AE10" i="1"/>
  <c r="AE60" i="1" s="1"/>
  <c r="AE20" i="1"/>
  <c r="AE68" i="1" s="1"/>
  <c r="AE69" i="1" s="1"/>
  <c r="AE75" i="1" s="1"/>
  <c r="AE12" i="1"/>
  <c r="U28" i="1"/>
  <c r="U29" i="1"/>
  <c r="AH86" i="1"/>
  <c r="AH54" i="1" s="1"/>
  <c r="AH81" i="1"/>
  <c r="AH82" i="1"/>
  <c r="AH43" i="1"/>
  <c r="AH44" i="1"/>
  <c r="AJ38" i="1"/>
  <c r="AI42" i="1"/>
  <c r="AI83" i="1" s="1"/>
  <c r="AI80" i="1"/>
  <c r="BM27" i="1" l="1"/>
  <c r="G24" i="4"/>
  <c r="X26" i="1"/>
  <c r="X27" i="1" s="1"/>
  <c r="X68" i="1"/>
  <c r="X69" i="1" s="1"/>
  <c r="X75" i="1" s="1"/>
  <c r="AE25" i="1"/>
  <c r="AE72" i="1"/>
  <c r="AD21" i="1"/>
  <c r="AD68" i="1"/>
  <c r="AD69" i="1" s="1"/>
  <c r="AD75" i="1" s="1"/>
  <c r="AG96" i="1"/>
  <c r="AG73" i="1" s="1"/>
  <c r="AF12" i="1"/>
  <c r="AG94" i="1"/>
  <c r="AG74" i="1" s="1"/>
  <c r="AG22" i="1"/>
  <c r="AG71" i="1" s="1"/>
  <c r="AE26" i="1"/>
  <c r="AD26" i="1"/>
  <c r="BO26" i="1" s="1"/>
  <c r="AF63" i="1"/>
  <c r="AE62" i="1"/>
  <c r="AE64" i="1" s="1"/>
  <c r="AE63" i="1"/>
  <c r="AH56" i="1"/>
  <c r="AH57" i="1" s="1"/>
  <c r="AH55" i="1"/>
  <c r="Z61" i="1"/>
  <c r="Z62" i="1" s="1"/>
  <c r="Z64" i="1" s="1"/>
  <c r="Z66" i="1"/>
  <c r="Y61" i="1"/>
  <c r="Y62" i="1" s="1"/>
  <c r="Y64" i="1" s="1"/>
  <c r="Y66" i="1"/>
  <c r="AG11" i="1"/>
  <c r="AG10" i="1" s="1"/>
  <c r="AG60" i="1" s="1"/>
  <c r="AG9" i="1"/>
  <c r="AG104" i="1"/>
  <c r="AG114" i="1" s="1"/>
  <c r="AG130" i="1" s="1"/>
  <c r="AG106" i="1"/>
  <c r="AG116" i="1" s="1"/>
  <c r="AG131" i="1" s="1"/>
  <c r="AG18" i="1" s="1"/>
  <c r="AG19" i="1" s="1"/>
  <c r="AG8" i="1"/>
  <c r="W27" i="1"/>
  <c r="Y17" i="1"/>
  <c r="Y20" i="1"/>
  <c r="AF116" i="1"/>
  <c r="AF131" i="1" s="1"/>
  <c r="AF18" i="1" s="1"/>
  <c r="Z17" i="1"/>
  <c r="Z20" i="1"/>
  <c r="AH7" i="1"/>
  <c r="AH110" i="1"/>
  <c r="AH128" i="1" s="1"/>
  <c r="AH88" i="1"/>
  <c r="AH87" i="1"/>
  <c r="AB27" i="1"/>
  <c r="AC28" i="1" s="1"/>
  <c r="AF112" i="1"/>
  <c r="X21" i="1"/>
  <c r="AE21" i="1"/>
  <c r="BN16" i="1"/>
  <c r="BN17" i="1" s="1"/>
  <c r="AI85" i="1"/>
  <c r="AI84" i="1"/>
  <c r="BO20" i="1"/>
  <c r="BO21" i="1" s="1"/>
  <c r="AG102" i="1"/>
  <c r="AF114" i="1"/>
  <c r="AF130" i="1" s="1"/>
  <c r="AF16" i="1" s="1"/>
  <c r="AF61" i="1" s="1"/>
  <c r="AF62" i="1" s="1"/>
  <c r="AF64" i="1" s="1"/>
  <c r="AH102" i="1"/>
  <c r="AH104" i="1"/>
  <c r="AI86" i="1"/>
  <c r="AI54" i="1" s="1"/>
  <c r="AI81" i="1"/>
  <c r="AI82" i="1"/>
  <c r="AI43" i="1"/>
  <c r="AI44" i="1"/>
  <c r="AK38" i="1"/>
  <c r="AJ42" i="1"/>
  <c r="AJ83" i="1" s="1"/>
  <c r="AJ80" i="1"/>
  <c r="BM29" i="1" l="1"/>
  <c r="G26" i="4" s="1"/>
  <c r="G25" i="4"/>
  <c r="BO27" i="1"/>
  <c r="I24" i="4"/>
  <c r="Y26" i="1"/>
  <c r="Y68" i="1"/>
  <c r="Y69" i="1" s="1"/>
  <c r="Y75" i="1" s="1"/>
  <c r="AD27" i="1"/>
  <c r="AD28" i="1" s="1"/>
  <c r="Z26" i="1"/>
  <c r="Z68" i="1"/>
  <c r="Z69" i="1" s="1"/>
  <c r="Z75" i="1" s="1"/>
  <c r="AH96" i="1"/>
  <c r="AH73" i="1" s="1"/>
  <c r="AH94" i="1"/>
  <c r="AH74" i="1" s="1"/>
  <c r="AH22" i="1"/>
  <c r="AH71" i="1" s="1"/>
  <c r="AH8" i="1"/>
  <c r="AH9" i="1"/>
  <c r="AG16" i="1"/>
  <c r="AG17" i="1" s="1"/>
  <c r="AF66" i="1"/>
  <c r="AI56" i="1"/>
  <c r="AI57" i="1" s="1"/>
  <c r="AI55" i="1"/>
  <c r="AG63" i="1"/>
  <c r="AH11" i="1"/>
  <c r="BP11" i="1" s="1"/>
  <c r="AH106" i="1"/>
  <c r="AH116" i="1" s="1"/>
  <c r="AH131" i="1" s="1"/>
  <c r="AH18" i="1" s="1"/>
  <c r="AE27" i="1"/>
  <c r="AG12" i="1"/>
  <c r="AF129" i="1"/>
  <c r="AF14" i="1" s="1"/>
  <c r="AF132" i="1"/>
  <c r="AI7" i="1"/>
  <c r="AI110" i="1"/>
  <c r="AI128" i="1" s="1"/>
  <c r="AI88" i="1"/>
  <c r="AI87" i="1"/>
  <c r="W29" i="1"/>
  <c r="W28" i="1"/>
  <c r="AA29" i="1"/>
  <c r="AF19" i="1"/>
  <c r="AF17" i="1"/>
  <c r="Y21" i="1"/>
  <c r="Y27" i="1"/>
  <c r="BN20" i="1"/>
  <c r="BN21" i="1" s="1"/>
  <c r="AB29" i="1"/>
  <c r="AB28" i="1"/>
  <c r="BP7" i="1"/>
  <c r="BP9" i="1" s="1"/>
  <c r="AJ85" i="1"/>
  <c r="AJ84" i="1"/>
  <c r="AG112" i="1"/>
  <c r="X28" i="1"/>
  <c r="X29" i="1"/>
  <c r="AH114" i="1"/>
  <c r="AH130" i="1" s="1"/>
  <c r="AH16" i="1" s="1"/>
  <c r="AH112" i="1"/>
  <c r="Z21" i="1"/>
  <c r="Z27" i="1"/>
  <c r="AJ86" i="1"/>
  <c r="AJ54" i="1" s="1"/>
  <c r="AJ81" i="1"/>
  <c r="AJ82" i="1"/>
  <c r="AJ43" i="1"/>
  <c r="AJ44" i="1"/>
  <c r="AL38" i="1"/>
  <c r="AK42" i="1"/>
  <c r="AK83" i="1" s="1"/>
  <c r="AK80" i="1"/>
  <c r="I25" i="4" l="1"/>
  <c r="AF25" i="1"/>
  <c r="AF72" i="1"/>
  <c r="AG61" i="1"/>
  <c r="AG62" i="1" s="1"/>
  <c r="AG64" i="1" s="1"/>
  <c r="BP22" i="1"/>
  <c r="AI96" i="1"/>
  <c r="AI73" i="1" s="1"/>
  <c r="AG66" i="1"/>
  <c r="AI94" i="1"/>
  <c r="AI74" i="1" s="1"/>
  <c r="AI22" i="1"/>
  <c r="AI71" i="1" s="1"/>
  <c r="AH17" i="1"/>
  <c r="AH61" i="1"/>
  <c r="AJ56" i="1"/>
  <c r="AJ57" i="1" s="1"/>
  <c r="AJ55" i="1"/>
  <c r="AH66" i="1"/>
  <c r="AH19" i="1"/>
  <c r="BP18" i="1"/>
  <c r="BP19" i="1" s="1"/>
  <c r="AI102" i="1"/>
  <c r="AI112" i="1" s="1"/>
  <c r="AI129" i="1" s="1"/>
  <c r="AI14" i="1" s="1"/>
  <c r="AI11" i="1"/>
  <c r="BP12" i="1"/>
  <c r="AJ7" i="1"/>
  <c r="AJ110" i="1"/>
  <c r="AJ128" i="1" s="1"/>
  <c r="AJ87" i="1"/>
  <c r="AJ88" i="1"/>
  <c r="AI9" i="1"/>
  <c r="AI104" i="1"/>
  <c r="AH132" i="1"/>
  <c r="AH129" i="1"/>
  <c r="AH14" i="1" s="1"/>
  <c r="AH15" i="1" s="1"/>
  <c r="AF15" i="1"/>
  <c r="AF20" i="1"/>
  <c r="AK85" i="1"/>
  <c r="AK84" i="1"/>
  <c r="Y28" i="1"/>
  <c r="Y29" i="1"/>
  <c r="AC29" i="1"/>
  <c r="BN26" i="1"/>
  <c r="AG129" i="1"/>
  <c r="AG14" i="1" s="1"/>
  <c r="BP14" i="1" s="1"/>
  <c r="BP15" i="1" s="1"/>
  <c r="AG132" i="1"/>
  <c r="AH12" i="1"/>
  <c r="AI106" i="1"/>
  <c r="BP16" i="1"/>
  <c r="BP17" i="1" s="1"/>
  <c r="AE29" i="1"/>
  <c r="AE28" i="1"/>
  <c r="AI8" i="1"/>
  <c r="Z29" i="1"/>
  <c r="Z28" i="1"/>
  <c r="AA28" i="1"/>
  <c r="AD29" i="1"/>
  <c r="AH10" i="1"/>
  <c r="AH60" i="1" s="1"/>
  <c r="AK86" i="1"/>
  <c r="AK54" i="1" s="1"/>
  <c r="AK81" i="1"/>
  <c r="AK82" i="1"/>
  <c r="AK44" i="1"/>
  <c r="AK43" i="1"/>
  <c r="AM38" i="1"/>
  <c r="AL42" i="1"/>
  <c r="AL83" i="1" s="1"/>
  <c r="AL80" i="1"/>
  <c r="BP93" i="1" l="1"/>
  <c r="J20" i="4"/>
  <c r="J21" i="4" s="1"/>
  <c r="J22" i="4" s="1"/>
  <c r="BN27" i="1"/>
  <c r="H24" i="4"/>
  <c r="AG25" i="1"/>
  <c r="AG72" i="1"/>
  <c r="AF26" i="1"/>
  <c r="AF68" i="1"/>
  <c r="AF69" i="1" s="1"/>
  <c r="AF75" i="1" s="1"/>
  <c r="AH25" i="1"/>
  <c r="AH72" i="1"/>
  <c r="AJ96" i="1"/>
  <c r="AJ73" i="1" s="1"/>
  <c r="AJ94" i="1"/>
  <c r="AJ74" i="1" s="1"/>
  <c r="AJ22" i="1"/>
  <c r="AJ71" i="1" s="1"/>
  <c r="BP25" i="1"/>
  <c r="J23" i="4" s="1"/>
  <c r="AH62" i="1"/>
  <c r="AH64" i="1" s="1"/>
  <c r="AH63" i="1"/>
  <c r="AJ11" i="1"/>
  <c r="AJ12" i="1" s="1"/>
  <c r="AK56" i="1"/>
  <c r="AK57" i="1" s="1"/>
  <c r="AK55" i="1"/>
  <c r="AJ102" i="1"/>
  <c r="AJ112" i="1" s="1"/>
  <c r="AJ104" i="1"/>
  <c r="AJ114" i="1" s="1"/>
  <c r="AJ130" i="1" s="1"/>
  <c r="AJ16" i="1" s="1"/>
  <c r="AJ106" i="1"/>
  <c r="AJ116" i="1" s="1"/>
  <c r="AJ131" i="1" s="1"/>
  <c r="AJ18" i="1" s="1"/>
  <c r="AJ19" i="1" s="1"/>
  <c r="AJ8" i="1"/>
  <c r="AJ9" i="1"/>
  <c r="AH20" i="1"/>
  <c r="AF27" i="1"/>
  <c r="AI15" i="1"/>
  <c r="AG15" i="1"/>
  <c r="AG20" i="1"/>
  <c r="AF21" i="1"/>
  <c r="AI116" i="1"/>
  <c r="AI131" i="1" s="1"/>
  <c r="AI18" i="1" s="1"/>
  <c r="AK7" i="1"/>
  <c r="AK110" i="1"/>
  <c r="AK128" i="1" s="1"/>
  <c r="AK88" i="1"/>
  <c r="AK87" i="1"/>
  <c r="AL84" i="1"/>
  <c r="AL85" i="1"/>
  <c r="AI10" i="1"/>
  <c r="AI60" i="1" s="1"/>
  <c r="AI12" i="1"/>
  <c r="AI114" i="1"/>
  <c r="AL86" i="1"/>
  <c r="AL54" i="1" s="1"/>
  <c r="AL81" i="1"/>
  <c r="AL82" i="1"/>
  <c r="AL43" i="1"/>
  <c r="AL44" i="1"/>
  <c r="AN38" i="1"/>
  <c r="AM42" i="1"/>
  <c r="AM83" i="1" s="1"/>
  <c r="AM80" i="1"/>
  <c r="H25" i="4" l="1"/>
  <c r="BN29" i="1"/>
  <c r="H26" i="4" s="1"/>
  <c r="BO29" i="1"/>
  <c r="I26" i="4" s="1"/>
  <c r="AH21" i="1"/>
  <c r="AH68" i="1"/>
  <c r="AH69" i="1" s="1"/>
  <c r="AH75" i="1" s="1"/>
  <c r="AG21" i="1"/>
  <c r="AG68" i="1"/>
  <c r="AG69" i="1" s="1"/>
  <c r="AG75" i="1" s="1"/>
  <c r="AJ10" i="1"/>
  <c r="AJ60" i="1" s="1"/>
  <c r="AK96" i="1"/>
  <c r="AK73" i="1" s="1"/>
  <c r="AH26" i="1"/>
  <c r="AH27" i="1" s="1"/>
  <c r="AH29" i="1" s="1"/>
  <c r="AG26" i="1"/>
  <c r="AK94" i="1"/>
  <c r="AK74" i="1" s="1"/>
  <c r="AK22" i="1"/>
  <c r="AK71" i="1" s="1"/>
  <c r="AJ17" i="1"/>
  <c r="AJ61" i="1"/>
  <c r="AI63" i="1"/>
  <c r="AJ63" i="1"/>
  <c r="AL55" i="1"/>
  <c r="AL56" i="1"/>
  <c r="AL57" i="1" s="1"/>
  <c r="AK11" i="1"/>
  <c r="AJ66" i="1"/>
  <c r="AK106" i="1"/>
  <c r="BP20" i="1"/>
  <c r="BP21" i="1" s="1"/>
  <c r="AI130" i="1"/>
  <c r="AI16" i="1" s="1"/>
  <c r="AI132" i="1"/>
  <c r="AI19" i="1"/>
  <c r="AK102" i="1"/>
  <c r="AK8" i="1"/>
  <c r="AK104" i="1"/>
  <c r="AK116" i="1"/>
  <c r="AK131" i="1" s="1"/>
  <c r="AK18" i="1"/>
  <c r="AK19" i="1" s="1"/>
  <c r="AM84" i="1"/>
  <c r="AM85" i="1"/>
  <c r="AK9" i="1"/>
  <c r="AL7" i="1"/>
  <c r="AL96" i="1" s="1"/>
  <c r="AL110" i="1"/>
  <c r="AL128" i="1" s="1"/>
  <c r="AL88" i="1"/>
  <c r="AL87" i="1"/>
  <c r="AJ132" i="1"/>
  <c r="AJ129" i="1"/>
  <c r="AJ14" i="1" s="1"/>
  <c r="AF28" i="1"/>
  <c r="AF29" i="1"/>
  <c r="AM82" i="1"/>
  <c r="AM86" i="1"/>
  <c r="AM54" i="1" s="1"/>
  <c r="AM81" i="1"/>
  <c r="AM43" i="1"/>
  <c r="AM44" i="1"/>
  <c r="AO38" i="1"/>
  <c r="AN42" i="1"/>
  <c r="AN83" i="1" s="1"/>
  <c r="AN80" i="1"/>
  <c r="AI25" i="1" l="1"/>
  <c r="AI72" i="1"/>
  <c r="AJ62" i="1"/>
  <c r="AJ64" i="1" s="1"/>
  <c r="AJ25" i="1"/>
  <c r="AJ72" i="1"/>
  <c r="AL73" i="1"/>
  <c r="AL94" i="1"/>
  <c r="AL74" i="1" s="1"/>
  <c r="AL22" i="1"/>
  <c r="AI61" i="1"/>
  <c r="AI62" i="1" s="1"/>
  <c r="AI64" i="1" s="1"/>
  <c r="AI66" i="1"/>
  <c r="AM55" i="1"/>
  <c r="AM56" i="1"/>
  <c r="AM57" i="1" s="1"/>
  <c r="AL11" i="1"/>
  <c r="AL12" i="1" s="1"/>
  <c r="AL8" i="1"/>
  <c r="AL102" i="1"/>
  <c r="AL112" i="1" s="1"/>
  <c r="AL129" i="1" s="1"/>
  <c r="AL14" i="1" s="1"/>
  <c r="AL104" i="1"/>
  <c r="AL114" i="1" s="1"/>
  <c r="AL130" i="1" s="1"/>
  <c r="AL16" i="1" s="1"/>
  <c r="AL61" i="1" s="1"/>
  <c r="AJ15" i="1"/>
  <c r="AJ20" i="1"/>
  <c r="AK112" i="1"/>
  <c r="AM7" i="1"/>
  <c r="AM110" i="1"/>
  <c r="AM128" i="1" s="1"/>
  <c r="AM88" i="1"/>
  <c r="AM87" i="1"/>
  <c r="AN84" i="1"/>
  <c r="AN85" i="1"/>
  <c r="AI17" i="1"/>
  <c r="AI20" i="1"/>
  <c r="AG27" i="1"/>
  <c r="BP26" i="1"/>
  <c r="BQ7" i="1"/>
  <c r="BQ9" i="1" s="1"/>
  <c r="AL9" i="1"/>
  <c r="AL106" i="1"/>
  <c r="AK114" i="1"/>
  <c r="AK130" i="1" s="1"/>
  <c r="AK16" i="1" s="1"/>
  <c r="AK10" i="1"/>
  <c r="AK60" i="1" s="1"/>
  <c r="AK12" i="1"/>
  <c r="BQ11" i="1"/>
  <c r="AN82" i="1"/>
  <c r="AN81" i="1"/>
  <c r="AN86" i="1"/>
  <c r="AN54" i="1" s="1"/>
  <c r="AN43" i="1"/>
  <c r="AN44" i="1"/>
  <c r="AP38" i="1"/>
  <c r="AO42" i="1"/>
  <c r="AO83" i="1" s="1"/>
  <c r="AO80" i="1"/>
  <c r="BP27" i="1" l="1"/>
  <c r="J24" i="4"/>
  <c r="BQ22" i="1"/>
  <c r="AL71" i="1"/>
  <c r="AJ21" i="1"/>
  <c r="AJ68" i="1"/>
  <c r="AJ69" i="1" s="1"/>
  <c r="AJ75" i="1" s="1"/>
  <c r="AI26" i="1"/>
  <c r="AI68" i="1"/>
  <c r="AI69" i="1" s="1"/>
  <c r="AI75" i="1" s="1"/>
  <c r="AM96" i="1"/>
  <c r="AM73" i="1" s="1"/>
  <c r="AM94" i="1"/>
  <c r="AM74" i="1" s="1"/>
  <c r="AM22" i="1"/>
  <c r="AM71" i="1" s="1"/>
  <c r="AJ26" i="1"/>
  <c r="AK17" i="1"/>
  <c r="AK61" i="1"/>
  <c r="AK62" i="1" s="1"/>
  <c r="AK64" i="1" s="1"/>
  <c r="AM11" i="1"/>
  <c r="AL66" i="1"/>
  <c r="AK66" i="1"/>
  <c r="AM104" i="1"/>
  <c r="AM114" i="1" s="1"/>
  <c r="AM130" i="1" s="1"/>
  <c r="AM16" i="1" s="1"/>
  <c r="AM61" i="1" s="1"/>
  <c r="AK63" i="1"/>
  <c r="AN55" i="1"/>
  <c r="AN56" i="1"/>
  <c r="AN57" i="1" s="1"/>
  <c r="AL10" i="1"/>
  <c r="AL60" i="1" s="1"/>
  <c r="AM102" i="1"/>
  <c r="AM112" i="1" s="1"/>
  <c r="AM129" i="1" s="1"/>
  <c r="AM14" i="1" s="1"/>
  <c r="AJ27" i="1"/>
  <c r="AJ29" i="1" s="1"/>
  <c r="BQ12" i="1"/>
  <c r="AM9" i="1"/>
  <c r="AL15" i="1"/>
  <c r="AL17" i="1"/>
  <c r="BQ16" i="1"/>
  <c r="BQ17" i="1" s="1"/>
  <c r="BQ10" i="1"/>
  <c r="AI27" i="1"/>
  <c r="AN7" i="1"/>
  <c r="AN110" i="1"/>
  <c r="AN128" i="1" s="1"/>
  <c r="AN88" i="1"/>
  <c r="AN87" i="1"/>
  <c r="AK132" i="1"/>
  <c r="AK129" i="1"/>
  <c r="AK14" i="1" s="1"/>
  <c r="AO84" i="1"/>
  <c r="AO85" i="1"/>
  <c r="AL116" i="1"/>
  <c r="AL131" i="1" s="1"/>
  <c r="AL18" i="1" s="1"/>
  <c r="AG28" i="1"/>
  <c r="AG29" i="1"/>
  <c r="AH28" i="1"/>
  <c r="AM8" i="1"/>
  <c r="AM106" i="1"/>
  <c r="AI21" i="1"/>
  <c r="AO81" i="1"/>
  <c r="AO82" i="1"/>
  <c r="AO86" i="1"/>
  <c r="AO54" i="1" s="1"/>
  <c r="AO44" i="1"/>
  <c r="AO43" i="1"/>
  <c r="AQ38" i="1"/>
  <c r="AP42" i="1"/>
  <c r="AP83" i="1" s="1"/>
  <c r="AP80" i="1"/>
  <c r="J25" i="4" l="1"/>
  <c r="BP29" i="1"/>
  <c r="J26" i="4" s="1"/>
  <c r="BQ93" i="1"/>
  <c r="K20" i="4"/>
  <c r="K21" i="4" s="1"/>
  <c r="K22" i="4" s="1"/>
  <c r="AK25" i="1"/>
  <c r="AK72" i="1"/>
  <c r="AN96" i="1"/>
  <c r="AN73" i="1" s="1"/>
  <c r="AN94" i="1"/>
  <c r="AN74" i="1" s="1"/>
  <c r="AN22" i="1"/>
  <c r="AN71" i="1" s="1"/>
  <c r="AK26" i="1"/>
  <c r="AN9" i="1"/>
  <c r="AN11" i="1"/>
  <c r="AN10" i="1" s="1"/>
  <c r="AN60" i="1" s="1"/>
  <c r="AM66" i="1"/>
  <c r="AN106" i="1"/>
  <c r="AN116" i="1" s="1"/>
  <c r="AN131" i="1" s="1"/>
  <c r="AN18" i="1" s="1"/>
  <c r="AN19" i="1" s="1"/>
  <c r="AL62" i="1"/>
  <c r="AL64" i="1" s="1"/>
  <c r="AL63" i="1"/>
  <c r="AN8" i="1"/>
  <c r="AO56" i="1"/>
  <c r="AO57" i="1" s="1"/>
  <c r="AO55" i="1"/>
  <c r="AL132" i="1"/>
  <c r="AN102" i="1"/>
  <c r="AM15" i="1"/>
  <c r="AM17" i="1"/>
  <c r="AL19" i="1"/>
  <c r="BQ18" i="1"/>
  <c r="BQ19" i="1" s="1"/>
  <c r="AL20" i="1"/>
  <c r="AN104" i="1"/>
  <c r="AM116" i="1"/>
  <c r="AM131" i="1" s="1"/>
  <c r="AM18" i="1" s="1"/>
  <c r="AM20" i="1" s="1"/>
  <c r="AM68" i="1" s="1"/>
  <c r="AM69" i="1" s="1"/>
  <c r="AM75" i="1" s="1"/>
  <c r="AK15" i="1"/>
  <c r="AK20" i="1"/>
  <c r="AK68" i="1" s="1"/>
  <c r="AK69" i="1" s="1"/>
  <c r="AK75" i="1" s="1"/>
  <c r="BQ14" i="1"/>
  <c r="BQ15" i="1" s="1"/>
  <c r="AI28" i="1"/>
  <c r="AI29" i="1"/>
  <c r="AP85" i="1"/>
  <c r="AP84" i="1"/>
  <c r="AO7" i="1"/>
  <c r="AO88" i="1"/>
  <c r="AO87" i="1"/>
  <c r="AO110" i="1"/>
  <c r="AO128" i="1" s="1"/>
  <c r="AN112" i="1"/>
  <c r="AN129" i="1" s="1"/>
  <c r="AN14" i="1" s="1"/>
  <c r="AM10" i="1"/>
  <c r="AM60" i="1" s="1"/>
  <c r="AM12" i="1"/>
  <c r="AJ28" i="1"/>
  <c r="AP86" i="1"/>
  <c r="AP54" i="1" s="1"/>
  <c r="AP81" i="1"/>
  <c r="AP82" i="1"/>
  <c r="AP44" i="1"/>
  <c r="AP43" i="1"/>
  <c r="AR38" i="1"/>
  <c r="AQ42" i="1"/>
  <c r="AQ83" i="1" s="1"/>
  <c r="AQ80" i="1"/>
  <c r="AL21" i="1" l="1"/>
  <c r="AL68" i="1"/>
  <c r="AL69" i="1" s="1"/>
  <c r="AL75" i="1" s="1"/>
  <c r="AL25" i="1"/>
  <c r="BQ25" i="1" s="1"/>
  <c r="K23" i="4" s="1"/>
  <c r="AL72" i="1"/>
  <c r="AM132" i="1"/>
  <c r="AO96" i="1"/>
  <c r="AO73" i="1" s="1"/>
  <c r="AO94" i="1"/>
  <c r="AO74" i="1" s="1"/>
  <c r="AO22" i="1"/>
  <c r="AO71" i="1" s="1"/>
  <c r="AN63" i="1"/>
  <c r="AO11" i="1"/>
  <c r="AO10" i="1" s="1"/>
  <c r="AO60" i="1" s="1"/>
  <c r="AN12" i="1"/>
  <c r="AM62" i="1"/>
  <c r="AM64" i="1" s="1"/>
  <c r="AM63" i="1"/>
  <c r="AP56" i="1"/>
  <c r="AP57" i="1" s="1"/>
  <c r="AP55" i="1"/>
  <c r="AO9" i="1"/>
  <c r="AO104" i="1"/>
  <c r="AO114" i="1" s="1"/>
  <c r="AO130" i="1" s="1"/>
  <c r="AO102" i="1"/>
  <c r="AO112" i="1" s="1"/>
  <c r="AO129" i="1" s="1"/>
  <c r="AO14" i="1" s="1"/>
  <c r="AO106" i="1"/>
  <c r="AO116" i="1" s="1"/>
  <c r="AO131" i="1" s="1"/>
  <c r="AO18" i="1" s="1"/>
  <c r="AN15" i="1"/>
  <c r="BR7" i="1"/>
  <c r="BR9" i="1" s="1"/>
  <c r="AK21" i="1"/>
  <c r="BQ20" i="1"/>
  <c r="BQ21" i="1" s="1"/>
  <c r="AM19" i="1"/>
  <c r="AM21" i="1"/>
  <c r="AN114" i="1"/>
  <c r="AQ85" i="1"/>
  <c r="AQ84" i="1"/>
  <c r="AP7" i="1"/>
  <c r="AP88" i="1"/>
  <c r="AP87" i="1"/>
  <c r="AP110" i="1"/>
  <c r="AP128" i="1" s="1"/>
  <c r="AO8" i="1"/>
  <c r="AQ86" i="1"/>
  <c r="AQ54" i="1" s="1"/>
  <c r="AQ81" i="1"/>
  <c r="AQ82" i="1"/>
  <c r="AQ43" i="1"/>
  <c r="AQ44" i="1"/>
  <c r="AS38" i="1"/>
  <c r="AR42" i="1"/>
  <c r="AR83" i="1" s="1"/>
  <c r="AR80" i="1"/>
  <c r="AM25" i="1" l="1"/>
  <c r="AM26" i="1" s="1"/>
  <c r="AM72" i="1"/>
  <c r="AL26" i="1"/>
  <c r="AL27" i="1" s="1"/>
  <c r="AL29" i="1" s="1"/>
  <c r="AP96" i="1"/>
  <c r="AP73" i="1" s="1"/>
  <c r="AP94" i="1"/>
  <c r="AP74" i="1" s="1"/>
  <c r="AP22" i="1"/>
  <c r="AP71" i="1" s="1"/>
  <c r="AO16" i="1"/>
  <c r="AO66" i="1" s="1"/>
  <c r="AQ56" i="1"/>
  <c r="AQ57" i="1" s="1"/>
  <c r="AQ55" i="1"/>
  <c r="AP11" i="1"/>
  <c r="AP10" i="1" s="1"/>
  <c r="AO63" i="1"/>
  <c r="AP8" i="1"/>
  <c r="AO15" i="1"/>
  <c r="AO19" i="1"/>
  <c r="AQ7" i="1"/>
  <c r="AQ8" i="1" s="1"/>
  <c r="AQ110" i="1"/>
  <c r="AQ128" i="1" s="1"/>
  <c r="AQ88" i="1"/>
  <c r="AQ87" i="1"/>
  <c r="AR85" i="1"/>
  <c r="AR84" i="1"/>
  <c r="AP9" i="1"/>
  <c r="AN130" i="1"/>
  <c r="AN16" i="1" s="1"/>
  <c r="AN132" i="1"/>
  <c r="AO12" i="1"/>
  <c r="AP104" i="1"/>
  <c r="AP102" i="1"/>
  <c r="AM27" i="1"/>
  <c r="AO132" i="1"/>
  <c r="AP106" i="1"/>
  <c r="AK27" i="1"/>
  <c r="AR86" i="1"/>
  <c r="AR54" i="1" s="1"/>
  <c r="AR81" i="1"/>
  <c r="AR82" i="1"/>
  <c r="AR43" i="1"/>
  <c r="AR44" i="1"/>
  <c r="AT38" i="1"/>
  <c r="AS42" i="1"/>
  <c r="AS83" i="1" s="1"/>
  <c r="AS80" i="1"/>
  <c r="AQ96" i="1" l="1"/>
  <c r="AQ73" i="1" s="1"/>
  <c r="AO25" i="1"/>
  <c r="AO72" i="1"/>
  <c r="BQ26" i="1"/>
  <c r="AO20" i="1"/>
  <c r="AN25" i="1"/>
  <c r="AN72" i="1"/>
  <c r="BR22" i="1"/>
  <c r="AP60" i="1"/>
  <c r="BR10" i="1"/>
  <c r="AO61" i="1"/>
  <c r="AO62" i="1" s="1"/>
  <c r="AO64" i="1" s="1"/>
  <c r="AQ9" i="1"/>
  <c r="AO17" i="1"/>
  <c r="AQ94" i="1"/>
  <c r="AQ74" i="1" s="1"/>
  <c r="AQ22" i="1"/>
  <c r="AQ71" i="1" s="1"/>
  <c r="AN61" i="1"/>
  <c r="AN62" i="1" s="1"/>
  <c r="AN64" i="1" s="1"/>
  <c r="AN66" i="1"/>
  <c r="AQ11" i="1"/>
  <c r="AP63" i="1"/>
  <c r="AR56" i="1"/>
  <c r="AR57" i="1" s="1"/>
  <c r="AR55" i="1"/>
  <c r="AQ104" i="1"/>
  <c r="AQ114" i="1" s="1"/>
  <c r="AQ130" i="1" s="1"/>
  <c r="AQ16" i="1" s="1"/>
  <c r="AQ61" i="1" s="1"/>
  <c r="AQ106" i="1"/>
  <c r="AQ116" i="1" s="1"/>
  <c r="AQ131" i="1" s="1"/>
  <c r="AQ18" i="1" s="1"/>
  <c r="AQ102" i="1"/>
  <c r="AQ112" i="1" s="1"/>
  <c r="AQ129" i="1" s="1"/>
  <c r="AQ14" i="1" s="1"/>
  <c r="AP116" i="1"/>
  <c r="AP131" i="1" s="1"/>
  <c r="AP18" i="1" s="1"/>
  <c r="AS85" i="1"/>
  <c r="AS84" i="1"/>
  <c r="AM28" i="1"/>
  <c r="AM29" i="1"/>
  <c r="AN17" i="1"/>
  <c r="AN20" i="1"/>
  <c r="AP112" i="1"/>
  <c r="AP114" i="1"/>
  <c r="AP130" i="1" s="1"/>
  <c r="AP16" i="1" s="1"/>
  <c r="AP61" i="1" s="1"/>
  <c r="AP62" i="1" s="1"/>
  <c r="AP64" i="1" s="1"/>
  <c r="AP12" i="1"/>
  <c r="BR11" i="1"/>
  <c r="BR12" i="1" s="1"/>
  <c r="AR7" i="1"/>
  <c r="AR96" i="1" s="1"/>
  <c r="AR73" i="1" s="1"/>
  <c r="AR110" i="1"/>
  <c r="AR128" i="1" s="1"/>
  <c r="AR88" i="1"/>
  <c r="AR87" i="1"/>
  <c r="AK28" i="1"/>
  <c r="AK29" i="1"/>
  <c r="AL28" i="1"/>
  <c r="AS86" i="1"/>
  <c r="AS54" i="1" s="1"/>
  <c r="AS81" i="1"/>
  <c r="AS82" i="1"/>
  <c r="AS44" i="1"/>
  <c r="AS43" i="1"/>
  <c r="AU38" i="1"/>
  <c r="AT42" i="1"/>
  <c r="AT83" i="1" s="1"/>
  <c r="AT80" i="1"/>
  <c r="L20" i="4" l="1"/>
  <c r="L21" i="4" s="1"/>
  <c r="L22" i="4" s="1"/>
  <c r="BR93" i="1"/>
  <c r="BQ27" i="1"/>
  <c r="K24" i="4"/>
  <c r="AR9" i="1"/>
  <c r="AO26" i="1"/>
  <c r="AO27" i="1" s="1"/>
  <c r="AN26" i="1"/>
  <c r="AN27" i="1" s="1"/>
  <c r="AN68" i="1"/>
  <c r="AN69" i="1" s="1"/>
  <c r="AN75" i="1" s="1"/>
  <c r="AO21" i="1"/>
  <c r="AO68" i="1"/>
  <c r="AO69" i="1" s="1"/>
  <c r="AO75" i="1" s="1"/>
  <c r="AR94" i="1"/>
  <c r="AR74" i="1" s="1"/>
  <c r="AR22" i="1"/>
  <c r="AR71" i="1" s="1"/>
  <c r="AS56" i="1"/>
  <c r="AS57" i="1" s="1"/>
  <c r="AS55" i="1"/>
  <c r="AP66" i="1"/>
  <c r="AQ66" i="1"/>
  <c r="AP17" i="1"/>
  <c r="BR16" i="1"/>
  <c r="BR17" i="1" s="1"/>
  <c r="AR11" i="1"/>
  <c r="AR12" i="1" s="1"/>
  <c r="AQ19" i="1"/>
  <c r="AP19" i="1"/>
  <c r="BR18" i="1"/>
  <c r="BR19" i="1" s="1"/>
  <c r="AQ10" i="1"/>
  <c r="AQ60" i="1" s="1"/>
  <c r="AQ20" i="1"/>
  <c r="AQ68" i="1" s="1"/>
  <c r="AQ69" i="1" s="1"/>
  <c r="AQ75" i="1" s="1"/>
  <c r="AQ12" i="1"/>
  <c r="AO29" i="1"/>
  <c r="AP129" i="1"/>
  <c r="AP14" i="1" s="1"/>
  <c r="AP132" i="1"/>
  <c r="AQ15" i="1"/>
  <c r="AN21" i="1"/>
  <c r="AR106" i="1"/>
  <c r="AR104" i="1"/>
  <c r="AS7" i="1"/>
  <c r="AS110" i="1"/>
  <c r="AS128" i="1" s="1"/>
  <c r="AS87" i="1"/>
  <c r="AS88" i="1"/>
  <c r="AR102" i="1"/>
  <c r="AQ132" i="1"/>
  <c r="AT85" i="1"/>
  <c r="AT84" i="1"/>
  <c r="AQ17" i="1"/>
  <c r="AR8" i="1"/>
  <c r="AT86" i="1"/>
  <c r="AT54" i="1" s="1"/>
  <c r="AT81" i="1"/>
  <c r="AT82" i="1"/>
  <c r="AT43" i="1"/>
  <c r="AT44" i="1"/>
  <c r="AV38" i="1"/>
  <c r="AU42" i="1"/>
  <c r="AU83" i="1" s="1"/>
  <c r="AU80" i="1"/>
  <c r="K25" i="4" l="1"/>
  <c r="BQ29" i="1"/>
  <c r="K26" i="4" s="1"/>
  <c r="AQ25" i="1"/>
  <c r="AQ26" i="1" s="1"/>
  <c r="AQ72" i="1"/>
  <c r="AP25" i="1"/>
  <c r="AP72" i="1"/>
  <c r="AS96" i="1"/>
  <c r="AS73" i="1" s="1"/>
  <c r="AS94" i="1"/>
  <c r="AS74" i="1" s="1"/>
  <c r="AS22" i="1"/>
  <c r="AS71" i="1" s="1"/>
  <c r="AS8" i="1"/>
  <c r="AS11" i="1"/>
  <c r="AS104" i="1"/>
  <c r="AS106" i="1"/>
  <c r="AS116" i="1" s="1"/>
  <c r="AS131" i="1" s="1"/>
  <c r="AS18" i="1" s="1"/>
  <c r="AS19" i="1" s="1"/>
  <c r="AQ62" i="1"/>
  <c r="AQ64" i="1" s="1"/>
  <c r="AQ63" i="1"/>
  <c r="AT55" i="1"/>
  <c r="AT56" i="1"/>
  <c r="AT57" i="1" s="1"/>
  <c r="AR10" i="1"/>
  <c r="AR60" i="1" s="1"/>
  <c r="AS9" i="1"/>
  <c r="AS102" i="1"/>
  <c r="AS112" i="1" s="1"/>
  <c r="AN28" i="1"/>
  <c r="AN29" i="1"/>
  <c r="AR114" i="1"/>
  <c r="AR130" i="1" s="1"/>
  <c r="AR16" i="1" s="1"/>
  <c r="AR61" i="1" s="1"/>
  <c r="AQ21" i="1"/>
  <c r="AS114" i="1"/>
  <c r="AS130" i="1" s="1"/>
  <c r="AS16" i="1" s="1"/>
  <c r="AU84" i="1"/>
  <c r="AU85" i="1"/>
  <c r="AR116" i="1"/>
  <c r="AR131" i="1" s="1"/>
  <c r="AR18" i="1" s="1"/>
  <c r="AT7" i="1"/>
  <c r="AT96" i="1" s="1"/>
  <c r="AT110" i="1"/>
  <c r="AT128" i="1" s="1"/>
  <c r="AT88" i="1"/>
  <c r="AT87" i="1"/>
  <c r="BR25" i="1"/>
  <c r="L23" i="4" s="1"/>
  <c r="AR112" i="1"/>
  <c r="AP15" i="1"/>
  <c r="BR14" i="1"/>
  <c r="BR15" i="1" s="1"/>
  <c r="AP20" i="1"/>
  <c r="AO28" i="1"/>
  <c r="AU82" i="1"/>
  <c r="AU86" i="1"/>
  <c r="AU54" i="1" s="1"/>
  <c r="AU81" i="1"/>
  <c r="AU43" i="1"/>
  <c r="AU44" i="1"/>
  <c r="AW38" i="1"/>
  <c r="AV42" i="1"/>
  <c r="AV83" i="1" s="1"/>
  <c r="AV80" i="1"/>
  <c r="AT73" i="1" l="1"/>
  <c r="AP26" i="1"/>
  <c r="AP68" i="1"/>
  <c r="AP69" i="1" s="1"/>
  <c r="AP75" i="1" s="1"/>
  <c r="AT94" i="1"/>
  <c r="AT74" i="1" s="1"/>
  <c r="AT22" i="1"/>
  <c r="AT71" i="1" s="1"/>
  <c r="AT11" i="1"/>
  <c r="AT12" i="1" s="1"/>
  <c r="AS66" i="1"/>
  <c r="AU55" i="1"/>
  <c r="AU56" i="1"/>
  <c r="AU57" i="1" s="1"/>
  <c r="AS17" i="1"/>
  <c r="AS61" i="1"/>
  <c r="AR62" i="1"/>
  <c r="AR64" i="1" s="1"/>
  <c r="AR63" i="1"/>
  <c r="AR66" i="1"/>
  <c r="AT9" i="1"/>
  <c r="AT106" i="1"/>
  <c r="AT116" i="1" s="1"/>
  <c r="AT131" i="1" s="1"/>
  <c r="AT18" i="1" s="1"/>
  <c r="AT104" i="1"/>
  <c r="AR19" i="1"/>
  <c r="AS132" i="1"/>
  <c r="AS129" i="1"/>
  <c r="AS14" i="1" s="1"/>
  <c r="AS15" i="1" s="1"/>
  <c r="AP21" i="1"/>
  <c r="BR20" i="1"/>
  <c r="BR21" i="1" s="1"/>
  <c r="AR17" i="1"/>
  <c r="AQ27" i="1"/>
  <c r="AV84" i="1"/>
  <c r="AV85" i="1"/>
  <c r="AT8" i="1"/>
  <c r="AT102" i="1"/>
  <c r="AU7" i="1"/>
  <c r="AU104" i="1" s="1"/>
  <c r="AU110" i="1"/>
  <c r="AU128" i="1" s="1"/>
  <c r="AU88" i="1"/>
  <c r="AU87" i="1"/>
  <c r="AT114" i="1"/>
  <c r="AT130" i="1" s="1"/>
  <c r="BS7" i="1"/>
  <c r="AP27" i="1"/>
  <c r="BR26" i="1"/>
  <c r="AR132" i="1"/>
  <c r="AR129" i="1"/>
  <c r="AR14" i="1" s="1"/>
  <c r="AS10" i="1"/>
  <c r="AS12" i="1"/>
  <c r="BS11" i="1"/>
  <c r="AV82" i="1"/>
  <c r="AV81" i="1"/>
  <c r="AV86" i="1"/>
  <c r="AV54" i="1" s="1"/>
  <c r="AV43" i="1"/>
  <c r="AV44" i="1"/>
  <c r="AX38" i="1"/>
  <c r="AW42" i="1"/>
  <c r="AW83" i="1" s="1"/>
  <c r="AW80" i="1"/>
  <c r="BR27" i="1" l="1"/>
  <c r="L24" i="4"/>
  <c r="AT16" i="1"/>
  <c r="AS25" i="1"/>
  <c r="AS72" i="1"/>
  <c r="AR25" i="1"/>
  <c r="AR72" i="1"/>
  <c r="AU96" i="1"/>
  <c r="AU73" i="1" s="1"/>
  <c r="AU102" i="1"/>
  <c r="AU112" i="1" s="1"/>
  <c r="AT10" i="1"/>
  <c r="AT60" i="1" s="1"/>
  <c r="AT63" i="1" s="1"/>
  <c r="AU94" i="1"/>
  <c r="AU74" i="1" s="1"/>
  <c r="AU22" i="1"/>
  <c r="AU71" i="1" s="1"/>
  <c r="AS60" i="1"/>
  <c r="AV55" i="1"/>
  <c r="AV56" i="1"/>
  <c r="AV57" i="1" s="1"/>
  <c r="AT17" i="1"/>
  <c r="AT61" i="1"/>
  <c r="AU11" i="1"/>
  <c r="AT66" i="1"/>
  <c r="BS16" i="1"/>
  <c r="BS17" i="1" s="1"/>
  <c r="AS20" i="1"/>
  <c r="AU9" i="1"/>
  <c r="AU8" i="1"/>
  <c r="AU106" i="1"/>
  <c r="AU116" i="1" s="1"/>
  <c r="AU131" i="1" s="1"/>
  <c r="AU18" i="1" s="1"/>
  <c r="AT19" i="1"/>
  <c r="BS18" i="1"/>
  <c r="BS19" i="1" s="1"/>
  <c r="BS12" i="1"/>
  <c r="BS9" i="1"/>
  <c r="AR15" i="1"/>
  <c r="AR20" i="1"/>
  <c r="AW84" i="1"/>
  <c r="AW85" i="1"/>
  <c r="AT112" i="1"/>
  <c r="AU114" i="1"/>
  <c r="AU130" i="1" s="1"/>
  <c r="AU16" i="1" s="1"/>
  <c r="AU61" i="1" s="1"/>
  <c r="AP29" i="1"/>
  <c r="AP28" i="1"/>
  <c r="AV7" i="1"/>
  <c r="AV96" i="1" s="1"/>
  <c r="AV88" i="1"/>
  <c r="AV87" i="1"/>
  <c r="AV110" i="1"/>
  <c r="AV128" i="1" s="1"/>
  <c r="AQ29" i="1"/>
  <c r="AQ28" i="1"/>
  <c r="AW81" i="1"/>
  <c r="AW82" i="1"/>
  <c r="AW86" i="1"/>
  <c r="AW54" i="1" s="1"/>
  <c r="AW43" i="1"/>
  <c r="AW44" i="1"/>
  <c r="AY38" i="1"/>
  <c r="AX42" i="1"/>
  <c r="AX83" i="1" s="1"/>
  <c r="AX80" i="1"/>
  <c r="BR29" i="1" l="1"/>
  <c r="L26" i="4" s="1"/>
  <c r="L25" i="4"/>
  <c r="AV73" i="1"/>
  <c r="BS10" i="1"/>
  <c r="AR26" i="1"/>
  <c r="AR27" i="1" s="1"/>
  <c r="AR68" i="1"/>
  <c r="AR69" i="1" s="1"/>
  <c r="AR75" i="1" s="1"/>
  <c r="AS21" i="1"/>
  <c r="AS68" i="1"/>
  <c r="AS69" i="1" s="1"/>
  <c r="AS75" i="1" s="1"/>
  <c r="AT62" i="1"/>
  <c r="AT64" i="1" s="1"/>
  <c r="AV94" i="1"/>
  <c r="AV74" i="1" s="1"/>
  <c r="AV22" i="1"/>
  <c r="AV71" i="1" s="1"/>
  <c r="AS26" i="1"/>
  <c r="AS27" i="1" s="1"/>
  <c r="AS29" i="1" s="1"/>
  <c r="AV11" i="1"/>
  <c r="AV12" i="1" s="1"/>
  <c r="AU66" i="1"/>
  <c r="AS62" i="1"/>
  <c r="AS64" i="1" s="1"/>
  <c r="AS63" i="1"/>
  <c r="AW56" i="1"/>
  <c r="AW57" i="1" s="1"/>
  <c r="AW55" i="1"/>
  <c r="AV9" i="1"/>
  <c r="AV8" i="1"/>
  <c r="AV106" i="1"/>
  <c r="AV116" i="1" s="1"/>
  <c r="AV131" i="1" s="1"/>
  <c r="AV18" i="1" s="1"/>
  <c r="AV19" i="1" s="1"/>
  <c r="AV104" i="1"/>
  <c r="AV114" i="1" s="1"/>
  <c r="AV130" i="1" s="1"/>
  <c r="AV16" i="1" s="1"/>
  <c r="AT129" i="1"/>
  <c r="AT14" i="1" s="1"/>
  <c r="AT132" i="1"/>
  <c r="AU10" i="1"/>
  <c r="AU60" i="1" s="1"/>
  <c r="AU12" i="1"/>
  <c r="AV102" i="1"/>
  <c r="AU132" i="1"/>
  <c r="AU129" i="1"/>
  <c r="AU14" i="1" s="1"/>
  <c r="AU20" i="1" s="1"/>
  <c r="AU68" i="1" s="1"/>
  <c r="AU69" i="1" s="1"/>
  <c r="AU75" i="1" s="1"/>
  <c r="AU17" i="1"/>
  <c r="AU19" i="1"/>
  <c r="AX84" i="1"/>
  <c r="AX85" i="1"/>
  <c r="AW7" i="1"/>
  <c r="AW88" i="1"/>
  <c r="AW87" i="1"/>
  <c r="AW110" i="1"/>
  <c r="AW128" i="1" s="1"/>
  <c r="AR21" i="1"/>
  <c r="AX86" i="1"/>
  <c r="AX54" i="1" s="1"/>
  <c r="AX81" i="1"/>
  <c r="AX82" i="1"/>
  <c r="AX43" i="1"/>
  <c r="AX44" i="1"/>
  <c r="AZ38" i="1"/>
  <c r="AY42" i="1"/>
  <c r="AY83" i="1" s="1"/>
  <c r="AY80" i="1"/>
  <c r="AT25" i="1" l="1"/>
  <c r="AT72" i="1"/>
  <c r="AU25" i="1"/>
  <c r="AU26" i="1" s="1"/>
  <c r="AU72" i="1"/>
  <c r="AW96" i="1"/>
  <c r="AW73" i="1" s="1"/>
  <c r="AW94" i="1"/>
  <c r="AW74" i="1" s="1"/>
  <c r="AW22" i="1"/>
  <c r="AW71" i="1" s="1"/>
  <c r="AV10" i="1"/>
  <c r="AV60" i="1" s="1"/>
  <c r="AV63" i="1" s="1"/>
  <c r="AV17" i="1"/>
  <c r="AV61" i="1"/>
  <c r="AW11" i="1"/>
  <c r="AV66" i="1"/>
  <c r="AX56" i="1"/>
  <c r="AX57" i="1" s="1"/>
  <c r="AX55" i="1"/>
  <c r="AU62" i="1"/>
  <c r="AU64" i="1" s="1"/>
  <c r="AU63" i="1"/>
  <c r="AW8" i="1"/>
  <c r="AW106" i="1"/>
  <c r="AW116" i="1" s="1"/>
  <c r="AW131" i="1" s="1"/>
  <c r="AW9" i="1"/>
  <c r="AW104" i="1"/>
  <c r="AW114" i="1" s="1"/>
  <c r="AW130" i="1" s="1"/>
  <c r="AW102" i="1"/>
  <c r="AW112" i="1" s="1"/>
  <c r="AW129" i="1" s="1"/>
  <c r="AR29" i="1"/>
  <c r="AR28" i="1"/>
  <c r="AU21" i="1"/>
  <c r="AX7" i="1"/>
  <c r="AX96" i="1" s="1"/>
  <c r="AX88" i="1"/>
  <c r="AX87" i="1"/>
  <c r="AX110" i="1"/>
  <c r="AX128" i="1" s="1"/>
  <c r="AY85" i="1"/>
  <c r="AY84" i="1"/>
  <c r="AU15" i="1"/>
  <c r="AS28" i="1"/>
  <c r="AV112" i="1"/>
  <c r="BS25" i="1"/>
  <c r="M23" i="4" s="1"/>
  <c r="AT15" i="1"/>
  <c r="AT20" i="1"/>
  <c r="BS14" i="1"/>
  <c r="BS15" i="1" s="1"/>
  <c r="AY86" i="1"/>
  <c r="AY54" i="1" s="1"/>
  <c r="AY81" i="1"/>
  <c r="AY82" i="1"/>
  <c r="AY43" i="1"/>
  <c r="AY44" i="1"/>
  <c r="BA38" i="1"/>
  <c r="AZ42" i="1"/>
  <c r="AZ83" i="1" s="1"/>
  <c r="AZ80" i="1"/>
  <c r="AT26" i="1" l="1"/>
  <c r="AT68" i="1"/>
  <c r="AT69" i="1" s="1"/>
  <c r="AT75" i="1" s="1"/>
  <c r="AX73" i="1"/>
  <c r="AW18" i="1"/>
  <c r="AW19" i="1" s="1"/>
  <c r="AV62" i="1"/>
  <c r="AV64" i="1" s="1"/>
  <c r="AX94" i="1"/>
  <c r="AX74" i="1" s="1"/>
  <c r="AX22" i="1"/>
  <c r="AX71" i="1" s="1"/>
  <c r="BT22" i="1"/>
  <c r="AY56" i="1"/>
  <c r="AY57" i="1" s="1"/>
  <c r="AY55" i="1"/>
  <c r="AX11" i="1"/>
  <c r="AX10" i="1" s="1"/>
  <c r="AX60" i="1" s="1"/>
  <c r="AX8" i="1"/>
  <c r="AX104" i="1"/>
  <c r="AX114" i="1" s="1"/>
  <c r="AX130" i="1" s="1"/>
  <c r="AX16" i="1" s="1"/>
  <c r="BT7" i="1"/>
  <c r="BT9" i="1" s="1"/>
  <c r="AW16" i="1"/>
  <c r="AW61" i="1" s="1"/>
  <c r="AW14" i="1"/>
  <c r="AW15" i="1" s="1"/>
  <c r="AX102" i="1"/>
  <c r="AX106" i="1"/>
  <c r="AW12" i="1"/>
  <c r="BT11" i="1"/>
  <c r="AX116" i="1"/>
  <c r="AX131" i="1" s="1"/>
  <c r="AX18" i="1" s="1"/>
  <c r="AT21" i="1"/>
  <c r="BS20" i="1"/>
  <c r="BS21" i="1" s="1"/>
  <c r="AW10" i="1"/>
  <c r="AX112" i="1"/>
  <c r="AZ85" i="1"/>
  <c r="AZ84" i="1"/>
  <c r="AV129" i="1"/>
  <c r="AV14" i="1" s="1"/>
  <c r="AV132" i="1"/>
  <c r="AX9" i="1"/>
  <c r="AY7" i="1"/>
  <c r="AY110" i="1"/>
  <c r="AY128" i="1" s="1"/>
  <c r="AY88" i="1"/>
  <c r="AY87" i="1"/>
  <c r="AU27" i="1"/>
  <c r="AW132" i="1"/>
  <c r="AZ86" i="1"/>
  <c r="AZ54" i="1" s="1"/>
  <c r="AZ81" i="1"/>
  <c r="AZ82" i="1"/>
  <c r="AZ43" i="1"/>
  <c r="AZ44" i="1"/>
  <c r="BB38" i="1"/>
  <c r="BA42" i="1"/>
  <c r="BA83" i="1" s="1"/>
  <c r="BA80" i="1"/>
  <c r="N20" i="4" l="1"/>
  <c r="N21" i="4" s="1"/>
  <c r="N22" i="4" s="1"/>
  <c r="BT93" i="1"/>
  <c r="AW25" i="1"/>
  <c r="AW72" i="1"/>
  <c r="AV25" i="1"/>
  <c r="AV72" i="1"/>
  <c r="AY96" i="1"/>
  <c r="AY73" i="1" s="1"/>
  <c r="AW17" i="1"/>
  <c r="BT12" i="1"/>
  <c r="AY94" i="1"/>
  <c r="AY74" i="1" s="1"/>
  <c r="AY22" i="1"/>
  <c r="AY71" i="1" s="1"/>
  <c r="AZ56" i="1"/>
  <c r="AZ57" i="1" s="1"/>
  <c r="AZ55" i="1"/>
  <c r="AY11" i="1"/>
  <c r="AX66" i="1"/>
  <c r="AW66" i="1"/>
  <c r="AX63" i="1"/>
  <c r="AW20" i="1"/>
  <c r="AX17" i="1"/>
  <c r="AX61" i="1"/>
  <c r="AX62" i="1" s="1"/>
  <c r="AX64" i="1" s="1"/>
  <c r="BT10" i="1"/>
  <c r="AW60" i="1"/>
  <c r="AY8" i="1"/>
  <c r="AY9" i="1"/>
  <c r="AY102" i="1"/>
  <c r="AY112" i="1" s="1"/>
  <c r="AY129" i="1" s="1"/>
  <c r="AY14" i="1" s="1"/>
  <c r="AY106" i="1"/>
  <c r="AY116" i="1" s="1"/>
  <c r="AY131" i="1" s="1"/>
  <c r="AY18" i="1" s="1"/>
  <c r="AY104" i="1"/>
  <c r="AY114" i="1" s="1"/>
  <c r="AY130" i="1" s="1"/>
  <c r="AX19" i="1"/>
  <c r="BT18" i="1"/>
  <c r="BT19" i="1" s="1"/>
  <c r="BA85" i="1"/>
  <c r="BA84" i="1"/>
  <c r="AT27" i="1"/>
  <c r="BS26" i="1"/>
  <c r="AX132" i="1"/>
  <c r="AX129" i="1"/>
  <c r="AX14" i="1" s="1"/>
  <c r="AX15" i="1" s="1"/>
  <c r="AZ7" i="1"/>
  <c r="AZ8" i="1" s="1"/>
  <c r="AZ110" i="1"/>
  <c r="AZ128" i="1" s="1"/>
  <c r="AZ88" i="1"/>
  <c r="AZ87" i="1"/>
  <c r="AU29" i="1"/>
  <c r="AV15" i="1"/>
  <c r="AV20" i="1"/>
  <c r="BT14" i="1"/>
  <c r="BT15" i="1" s="1"/>
  <c r="BT16" i="1"/>
  <c r="BT17" i="1" s="1"/>
  <c r="AX12" i="1"/>
  <c r="BA86" i="1"/>
  <c r="BA54" i="1" s="1"/>
  <c r="BA81" i="1"/>
  <c r="BA82" i="1"/>
  <c r="AZ106" i="1"/>
  <c r="BA44" i="1"/>
  <c r="BA43" i="1"/>
  <c r="BC38" i="1"/>
  <c r="BB42" i="1"/>
  <c r="BB83" i="1" s="1"/>
  <c r="BB80" i="1"/>
  <c r="BS27" i="1" l="1"/>
  <c r="M24" i="4"/>
  <c r="AV26" i="1"/>
  <c r="AV68" i="1"/>
  <c r="AV69" i="1" s="1"/>
  <c r="AV75" i="1" s="1"/>
  <c r="AX25" i="1"/>
  <c r="AX72" i="1"/>
  <c r="AW21" i="1"/>
  <c r="AW68" i="1"/>
  <c r="AW69" i="1" s="1"/>
  <c r="AW75" i="1" s="1"/>
  <c r="AZ104" i="1"/>
  <c r="AZ114" i="1" s="1"/>
  <c r="AZ130" i="1" s="1"/>
  <c r="AZ16" i="1" s="1"/>
  <c r="AZ9" i="1"/>
  <c r="AZ96" i="1"/>
  <c r="AZ73" i="1" s="1"/>
  <c r="BT25" i="1"/>
  <c r="N23" i="4" s="1"/>
  <c r="AZ94" i="1"/>
  <c r="AZ74" i="1" s="1"/>
  <c r="AZ22" i="1"/>
  <c r="AZ71" i="1" s="1"/>
  <c r="AW26" i="1"/>
  <c r="AW27" i="1" s="1"/>
  <c r="AW29" i="1" s="1"/>
  <c r="AW62" i="1"/>
  <c r="AW64" i="1" s="1"/>
  <c r="AW63" i="1"/>
  <c r="BA56" i="1"/>
  <c r="BA57" i="1" s="1"/>
  <c r="BA55" i="1"/>
  <c r="AZ11" i="1"/>
  <c r="AZ12" i="1" s="1"/>
  <c r="AY16" i="1"/>
  <c r="AY61" i="1" s="1"/>
  <c r="AX20" i="1"/>
  <c r="AY15" i="1"/>
  <c r="AT29" i="1"/>
  <c r="AT28" i="1"/>
  <c r="AZ116" i="1"/>
  <c r="AZ131" i="1" s="1"/>
  <c r="AZ18" i="1" s="1"/>
  <c r="AZ19" i="1" s="1"/>
  <c r="AY19" i="1"/>
  <c r="AV21" i="1"/>
  <c r="BT20" i="1"/>
  <c r="BT21" i="1" s="1"/>
  <c r="BB84" i="1"/>
  <c r="BB85" i="1"/>
  <c r="BA7" i="1"/>
  <c r="BA96" i="1" s="1"/>
  <c r="BA110" i="1"/>
  <c r="BA128" i="1" s="1"/>
  <c r="BA88" i="1"/>
  <c r="BA87" i="1"/>
  <c r="AZ102" i="1"/>
  <c r="AY132" i="1"/>
  <c r="AU28" i="1"/>
  <c r="AY10" i="1"/>
  <c r="AY60" i="1" s="1"/>
  <c r="AY12" i="1"/>
  <c r="BB86" i="1"/>
  <c r="BB54" i="1" s="1"/>
  <c r="BB81" i="1"/>
  <c r="BB82" i="1"/>
  <c r="BB43" i="1"/>
  <c r="BB44" i="1"/>
  <c r="BD38" i="1"/>
  <c r="BC42" i="1"/>
  <c r="BC83" i="1" s="1"/>
  <c r="BC80" i="1"/>
  <c r="M25" i="4" l="1"/>
  <c r="BS29" i="1"/>
  <c r="M26" i="4" s="1"/>
  <c r="AY17" i="1"/>
  <c r="AX21" i="1"/>
  <c r="AX68" i="1"/>
  <c r="AX69" i="1" s="1"/>
  <c r="AX75" i="1" s="1"/>
  <c r="AY25" i="1"/>
  <c r="AY26" i="1" s="1"/>
  <c r="AY72" i="1"/>
  <c r="BA73" i="1"/>
  <c r="AY20" i="1"/>
  <c r="AY68" i="1" s="1"/>
  <c r="AY69" i="1" s="1"/>
  <c r="AY75" i="1" s="1"/>
  <c r="AY66" i="1"/>
  <c r="BA94" i="1"/>
  <c r="BA74" i="1" s="1"/>
  <c r="BA22" i="1"/>
  <c r="BA71" i="1" s="1"/>
  <c r="AX26" i="1"/>
  <c r="AX27" i="1" s="1"/>
  <c r="AX29" i="1" s="1"/>
  <c r="BA11" i="1"/>
  <c r="AZ66" i="1"/>
  <c r="AZ17" i="1"/>
  <c r="AZ61" i="1"/>
  <c r="BB55" i="1"/>
  <c r="BB56" i="1"/>
  <c r="BB57" i="1" s="1"/>
  <c r="AY62" i="1"/>
  <c r="AY64" i="1" s="1"/>
  <c r="AY63" i="1"/>
  <c r="AZ10" i="1"/>
  <c r="AZ60" i="1" s="1"/>
  <c r="BA104" i="1"/>
  <c r="BA114" i="1" s="1"/>
  <c r="BA130" i="1" s="1"/>
  <c r="BA16" i="1" s="1"/>
  <c r="BA61" i="1" s="1"/>
  <c r="BA102" i="1"/>
  <c r="BA112" i="1" s="1"/>
  <c r="BA106" i="1"/>
  <c r="BA116" i="1" s="1"/>
  <c r="BA131" i="1" s="1"/>
  <c r="BA18" i="1" s="1"/>
  <c r="BA8" i="1"/>
  <c r="BA9" i="1"/>
  <c r="BB7" i="1"/>
  <c r="BB9" i="1" s="1"/>
  <c r="BB110" i="1"/>
  <c r="BB128" i="1" s="1"/>
  <c r="BB88" i="1"/>
  <c r="BB87" i="1"/>
  <c r="AY21" i="1"/>
  <c r="AZ112" i="1"/>
  <c r="BU7" i="1"/>
  <c r="BU9" i="1" s="1"/>
  <c r="BC84" i="1"/>
  <c r="BC85" i="1"/>
  <c r="AV27" i="1"/>
  <c r="BT26" i="1"/>
  <c r="AX28" i="1"/>
  <c r="BC82" i="1"/>
  <c r="BC86" i="1"/>
  <c r="BC54" i="1" s="1"/>
  <c r="BC81" i="1"/>
  <c r="BC43" i="1"/>
  <c r="BC44" i="1"/>
  <c r="BE38" i="1"/>
  <c r="BD42" i="1"/>
  <c r="BD83" i="1" s="1"/>
  <c r="BD80" i="1"/>
  <c r="BT27" i="1" l="1"/>
  <c r="N24" i="4"/>
  <c r="BB96" i="1"/>
  <c r="BB73" i="1" s="1"/>
  <c r="BB8" i="1"/>
  <c r="BB94" i="1"/>
  <c r="BB74" i="1" s="1"/>
  <c r="BB22" i="1"/>
  <c r="BB71" i="1" s="1"/>
  <c r="AZ62" i="1"/>
  <c r="AZ64" i="1" s="1"/>
  <c r="AZ63" i="1"/>
  <c r="BC55" i="1"/>
  <c r="BC56" i="1"/>
  <c r="BC57" i="1" s="1"/>
  <c r="BB11" i="1"/>
  <c r="BB12" i="1" s="1"/>
  <c r="BA66" i="1"/>
  <c r="BB102" i="1"/>
  <c r="BB112" i="1" s="1"/>
  <c r="BB106" i="1"/>
  <c r="BB116" i="1" s="1"/>
  <c r="BB131" i="1" s="1"/>
  <c r="BB18" i="1" s="1"/>
  <c r="BB19" i="1" s="1"/>
  <c r="BB104" i="1"/>
  <c r="BB114" i="1" s="1"/>
  <c r="BB130" i="1" s="1"/>
  <c r="BB16" i="1" s="1"/>
  <c r="BB61" i="1" s="1"/>
  <c r="BA19" i="1"/>
  <c r="AY27" i="1"/>
  <c r="BA17" i="1"/>
  <c r="BA132" i="1"/>
  <c r="BA129" i="1"/>
  <c r="BA14" i="1" s="1"/>
  <c r="BA15" i="1" s="1"/>
  <c r="BD84" i="1"/>
  <c r="BD85" i="1"/>
  <c r="BA10" i="1"/>
  <c r="BA60" i="1" s="1"/>
  <c r="BU11" i="1"/>
  <c r="BU12" i="1" s="1"/>
  <c r="BA12" i="1"/>
  <c r="AV28" i="1"/>
  <c r="AV29" i="1"/>
  <c r="AW28" i="1"/>
  <c r="BC7" i="1"/>
  <c r="BC110" i="1"/>
  <c r="BC128" i="1" s="1"/>
  <c r="BC88" i="1"/>
  <c r="BC87" i="1"/>
  <c r="AZ129" i="1"/>
  <c r="AZ14" i="1" s="1"/>
  <c r="AZ132" i="1"/>
  <c r="BD82" i="1"/>
  <c r="BD86" i="1"/>
  <c r="BD54" i="1" s="1"/>
  <c r="BD81" i="1"/>
  <c r="BD43" i="1"/>
  <c r="BD44" i="1"/>
  <c r="BF38" i="1"/>
  <c r="BE42" i="1"/>
  <c r="BE83" i="1" s="1"/>
  <c r="BE80" i="1"/>
  <c r="BT29" i="1" l="1"/>
  <c r="N26" i="4" s="1"/>
  <c r="N25" i="4"/>
  <c r="AZ25" i="1"/>
  <c r="AZ72" i="1"/>
  <c r="BA25" i="1"/>
  <c r="BA72" i="1"/>
  <c r="BC96" i="1"/>
  <c r="BC73" i="1" s="1"/>
  <c r="BC8" i="1"/>
  <c r="BC102" i="1"/>
  <c r="BC112" i="1" s="1"/>
  <c r="BC129" i="1" s="1"/>
  <c r="BC14" i="1" s="1"/>
  <c r="BC94" i="1"/>
  <c r="BC74" i="1" s="1"/>
  <c r="BC22" i="1"/>
  <c r="BC71" i="1" s="1"/>
  <c r="BD55" i="1"/>
  <c r="BD56" i="1"/>
  <c r="BD57" i="1" s="1"/>
  <c r="BC11" i="1"/>
  <c r="BB66" i="1"/>
  <c r="BA62" i="1"/>
  <c r="BA64" i="1" s="1"/>
  <c r="BA63" i="1"/>
  <c r="BB10" i="1"/>
  <c r="BB60" i="1" s="1"/>
  <c r="BA20" i="1"/>
  <c r="BB17" i="1"/>
  <c r="BU16" i="1"/>
  <c r="BU17" i="1" s="1"/>
  <c r="BC9" i="1"/>
  <c r="BC106" i="1"/>
  <c r="BC104" i="1"/>
  <c r="BB132" i="1"/>
  <c r="BB129" i="1"/>
  <c r="BB14" i="1" s="1"/>
  <c r="AY29" i="1"/>
  <c r="AY28" i="1"/>
  <c r="BE84" i="1"/>
  <c r="BE85" i="1"/>
  <c r="BU18" i="1"/>
  <c r="BU19" i="1" s="1"/>
  <c r="AZ15" i="1"/>
  <c r="BU14" i="1"/>
  <c r="BU15" i="1" s="1"/>
  <c r="AZ20" i="1"/>
  <c r="BD7" i="1"/>
  <c r="BD104" i="1" s="1"/>
  <c r="BD88" i="1"/>
  <c r="BD87" i="1"/>
  <c r="BD110" i="1"/>
  <c r="BD128" i="1" s="1"/>
  <c r="BE81" i="1"/>
  <c r="BE82" i="1"/>
  <c r="BE86" i="1"/>
  <c r="BE54" i="1" s="1"/>
  <c r="BE44" i="1"/>
  <c r="BE43" i="1"/>
  <c r="BF42" i="1"/>
  <c r="BF83" i="1" s="1"/>
  <c r="BF80" i="1"/>
  <c r="BD106" i="1" l="1"/>
  <c r="BB25" i="1"/>
  <c r="BB72" i="1"/>
  <c r="AZ26" i="1"/>
  <c r="AZ27" i="1" s="1"/>
  <c r="AZ68" i="1"/>
  <c r="AZ69" i="1" s="1"/>
  <c r="AZ75" i="1" s="1"/>
  <c r="BA21" i="1"/>
  <c r="BA68" i="1"/>
  <c r="BA69" i="1" s="1"/>
  <c r="BA75" i="1" s="1"/>
  <c r="BD96" i="1"/>
  <c r="BD73" i="1" s="1"/>
  <c r="BU10" i="1"/>
  <c r="BD94" i="1"/>
  <c r="BD74" i="1" s="1"/>
  <c r="BD22" i="1"/>
  <c r="BD71" i="1" s="1"/>
  <c r="BA26" i="1"/>
  <c r="BA27" i="1" s="1"/>
  <c r="BU25" i="1"/>
  <c r="O23" i="4" s="1"/>
  <c r="BD11" i="1"/>
  <c r="BD10" i="1" s="1"/>
  <c r="BD60" i="1" s="1"/>
  <c r="BE56" i="1"/>
  <c r="BE57" i="1" s="1"/>
  <c r="BE55" i="1"/>
  <c r="BB62" i="1"/>
  <c r="BB64" i="1" s="1"/>
  <c r="BB63" i="1"/>
  <c r="BD102" i="1"/>
  <c r="BD112" i="1" s="1"/>
  <c r="BD129" i="1" s="1"/>
  <c r="BD14" i="1" s="1"/>
  <c r="BD9" i="1"/>
  <c r="BC114" i="1"/>
  <c r="BC116" i="1"/>
  <c r="BC131" i="1" s="1"/>
  <c r="BC18" i="1" s="1"/>
  <c r="BD114" i="1"/>
  <c r="BD130" i="1" s="1"/>
  <c r="BD16" i="1" s="1"/>
  <c r="BE7" i="1"/>
  <c r="BE96" i="1" s="1"/>
  <c r="BE88" i="1"/>
  <c r="BE87" i="1"/>
  <c r="BE110" i="1"/>
  <c r="BE128" i="1" s="1"/>
  <c r="AZ21" i="1"/>
  <c r="BC10" i="1"/>
  <c r="BC60" i="1" s="1"/>
  <c r="BC12" i="1"/>
  <c r="BD116" i="1"/>
  <c r="BD131" i="1" s="1"/>
  <c r="BD18" i="1" s="1"/>
  <c r="BD19" i="1" s="1"/>
  <c r="BF85" i="1"/>
  <c r="BF84" i="1"/>
  <c r="BD8" i="1"/>
  <c r="BA29" i="1"/>
  <c r="BC15" i="1"/>
  <c r="BB15" i="1"/>
  <c r="BB20" i="1"/>
  <c r="BF86" i="1"/>
  <c r="BF54" i="1" s="1"/>
  <c r="BF81" i="1"/>
  <c r="BF82" i="1"/>
  <c r="BF43" i="1"/>
  <c r="BF44" i="1"/>
  <c r="BE106" i="1" l="1"/>
  <c r="BE116" i="1" s="1"/>
  <c r="BE131" i="1" s="1"/>
  <c r="BE18" i="1" s="1"/>
  <c r="BB21" i="1"/>
  <c r="BB68" i="1"/>
  <c r="BB69" i="1" s="1"/>
  <c r="BB75" i="1" s="1"/>
  <c r="BB26" i="1"/>
  <c r="BE73" i="1"/>
  <c r="BD12" i="1"/>
  <c r="BE94" i="1"/>
  <c r="BE74" i="1" s="1"/>
  <c r="BE22" i="1"/>
  <c r="BE71" i="1" s="1"/>
  <c r="BA28" i="1"/>
  <c r="BC63" i="1"/>
  <c r="BE11" i="1"/>
  <c r="BD66" i="1"/>
  <c r="BD17" i="1"/>
  <c r="BD61" i="1"/>
  <c r="BD62" i="1" s="1"/>
  <c r="BD64" i="1" s="1"/>
  <c r="BF56" i="1"/>
  <c r="BF57" i="1" s="1"/>
  <c r="BF55" i="1"/>
  <c r="BD63" i="1"/>
  <c r="BE9" i="1"/>
  <c r="BE8" i="1"/>
  <c r="BE104" i="1"/>
  <c r="BE114" i="1" s="1"/>
  <c r="BE130" i="1" s="1"/>
  <c r="BE102" i="1"/>
  <c r="BE112" i="1" s="1"/>
  <c r="BE129" i="1" s="1"/>
  <c r="BE14" i="1" s="1"/>
  <c r="BD15" i="1"/>
  <c r="BD20" i="1"/>
  <c r="BD132" i="1"/>
  <c r="BC19" i="1"/>
  <c r="AZ28" i="1"/>
  <c r="AZ29" i="1"/>
  <c r="BF7" i="1"/>
  <c r="BF96" i="1" s="1"/>
  <c r="BF73" i="1" s="1"/>
  <c r="BF88" i="1"/>
  <c r="BF87" i="1"/>
  <c r="BF110" i="1"/>
  <c r="BF128" i="1" s="1"/>
  <c r="BU20" i="1"/>
  <c r="BU21" i="1" s="1"/>
  <c r="BC130" i="1"/>
  <c r="BC16" i="1" s="1"/>
  <c r="BC132" i="1"/>
  <c r="BV7" i="1" l="1"/>
  <c r="BV9" i="1" s="1"/>
  <c r="BD21" i="1"/>
  <c r="BD68" i="1"/>
  <c r="BD69" i="1" s="1"/>
  <c r="BD75" i="1" s="1"/>
  <c r="BD25" i="1"/>
  <c r="BD26" i="1" s="1"/>
  <c r="BD27" i="1" s="1"/>
  <c r="BD29" i="1" s="1"/>
  <c r="BD72" i="1"/>
  <c r="BC25" i="1"/>
  <c r="BC72" i="1"/>
  <c r="BF94" i="1"/>
  <c r="BF74" i="1" s="1"/>
  <c r="BF22" i="1"/>
  <c r="BF71" i="1" s="1"/>
  <c r="BE16" i="1"/>
  <c r="BE61" i="1" s="1"/>
  <c r="BF102" i="1"/>
  <c r="BF112" i="1" s="1"/>
  <c r="BF106" i="1"/>
  <c r="BF116" i="1" s="1"/>
  <c r="BF131" i="1" s="1"/>
  <c r="BF18" i="1" s="1"/>
  <c r="BF11" i="1"/>
  <c r="BF10" i="1" s="1"/>
  <c r="BF60" i="1" s="1"/>
  <c r="BC61" i="1"/>
  <c r="BC62" i="1" s="1"/>
  <c r="BC64" i="1" s="1"/>
  <c r="BC66" i="1"/>
  <c r="BE132" i="1"/>
  <c r="BF8" i="1"/>
  <c r="BF9" i="1"/>
  <c r="BF104" i="1"/>
  <c r="BF114" i="1" s="1"/>
  <c r="BF130" i="1" s="1"/>
  <c r="BE19" i="1"/>
  <c r="BE15" i="1"/>
  <c r="BV11" i="1"/>
  <c r="BE12" i="1"/>
  <c r="BE10" i="1"/>
  <c r="BE60" i="1" s="1"/>
  <c r="BC17" i="1"/>
  <c r="BC20" i="1"/>
  <c r="BB27" i="1"/>
  <c r="BU26" i="1"/>
  <c r="BU27" i="1" l="1"/>
  <c r="O24" i="4"/>
  <c r="BV12" i="1"/>
  <c r="BV22" i="1"/>
  <c r="BC26" i="1"/>
  <c r="BC68" i="1"/>
  <c r="BC69" i="1" s="1"/>
  <c r="BC75" i="1" s="1"/>
  <c r="BE17" i="1"/>
  <c r="BE25" i="1"/>
  <c r="BE72" i="1"/>
  <c r="BE20" i="1"/>
  <c r="BE26" i="1" s="1"/>
  <c r="BE27" i="1" s="1"/>
  <c r="BE66" i="1"/>
  <c r="BN22" i="1"/>
  <c r="BS22" i="1"/>
  <c r="BU22" i="1"/>
  <c r="BF63" i="1"/>
  <c r="BE62" i="1"/>
  <c r="BE64" i="1" s="1"/>
  <c r="BE63" i="1"/>
  <c r="BF16" i="1"/>
  <c r="BF61" i="1" s="1"/>
  <c r="BF62" i="1" s="1"/>
  <c r="BF64" i="1" s="1"/>
  <c r="BV10" i="1"/>
  <c r="BF19" i="1"/>
  <c r="BV18" i="1"/>
  <c r="BV19" i="1" s="1"/>
  <c r="BC21" i="1"/>
  <c r="BN10" i="1"/>
  <c r="BP10" i="1"/>
  <c r="BF12" i="1"/>
  <c r="BF132" i="1"/>
  <c r="BF129" i="1"/>
  <c r="BF14" i="1" s="1"/>
  <c r="BB29" i="1"/>
  <c r="BB28" i="1"/>
  <c r="BN93" i="1" l="1"/>
  <c r="H20" i="4"/>
  <c r="H21" i="4" s="1"/>
  <c r="H22" i="4" s="1"/>
  <c r="BU29" i="1"/>
  <c r="O26" i="4" s="1"/>
  <c r="O25" i="4"/>
  <c r="O20" i="4"/>
  <c r="O21" i="4" s="1"/>
  <c r="O22" i="4" s="1"/>
  <c r="BU93" i="1"/>
  <c r="M20" i="4"/>
  <c r="M21" i="4" s="1"/>
  <c r="M22" i="4" s="1"/>
  <c r="BS93" i="1"/>
  <c r="BV93" i="1"/>
  <c r="P20" i="4"/>
  <c r="BF25" i="1"/>
  <c r="BV25" i="1" s="1"/>
  <c r="P23" i="4" s="1"/>
  <c r="BF72" i="1"/>
  <c r="BE21" i="1"/>
  <c r="BE68" i="1"/>
  <c r="BE69" i="1" s="1"/>
  <c r="BE75" i="1" s="1"/>
  <c r="BV16" i="1"/>
  <c r="BV17" i="1" s="1"/>
  <c r="BF17" i="1"/>
  <c r="BF15" i="1"/>
  <c r="BV14" i="1"/>
  <c r="BV15" i="1" s="1"/>
  <c r="BF20" i="1"/>
  <c r="BE28" i="1"/>
  <c r="BE29" i="1"/>
  <c r="BC27" i="1"/>
  <c r="P21" i="4" l="1"/>
  <c r="P48" i="4"/>
  <c r="E54" i="4" s="1"/>
  <c r="BF26" i="1"/>
  <c r="BV26" i="1" s="1"/>
  <c r="BF68" i="1"/>
  <c r="BF69" i="1" s="1"/>
  <c r="BF75" i="1" s="1"/>
  <c r="BC29" i="1"/>
  <c r="BC28" i="1"/>
  <c r="BD28" i="1"/>
  <c r="BM20" i="1"/>
  <c r="BM21" i="1" s="1"/>
  <c r="BF21" i="1"/>
  <c r="BV20" i="1"/>
  <c r="BV21" i="1" s="1"/>
  <c r="E62" i="4" l="1"/>
  <c r="E64" i="4"/>
  <c r="E65" i="4"/>
  <c r="E63" i="4"/>
  <c r="P22" i="4"/>
  <c r="D65" i="4"/>
  <c r="E57" i="4"/>
  <c r="BV27" i="1"/>
  <c r="P24" i="4"/>
  <c r="BF27" i="1"/>
  <c r="E58" i="4" l="1"/>
  <c r="E71" i="4" s="1"/>
  <c r="E68" i="4"/>
  <c r="D68" i="4"/>
  <c r="P25" i="4"/>
  <c r="BV29" i="1"/>
  <c r="P26" i="4" s="1"/>
  <c r="BF29" i="1"/>
  <c r="BF28" i="1"/>
  <c r="M69" i="1"/>
  <c r="M75" i="1" s="1"/>
  <c r="M77" i="1" l="1"/>
  <c r="M78" i="1" s="1"/>
  <c r="BK75" i="1"/>
  <c r="M33" i="1"/>
  <c r="T134" i="6" l="1"/>
  <c r="E41" i="4"/>
  <c r="N76" i="1"/>
  <c r="N77" i="1" s="1"/>
  <c r="O76" i="1" s="1"/>
  <c r="O77" i="1" s="1"/>
  <c r="M34" i="1"/>
  <c r="BK34" i="1" s="1"/>
  <c r="E31" i="4" s="1"/>
  <c r="BK33" i="1"/>
  <c r="E30" i="4" s="1"/>
  <c r="N78" i="1" l="1"/>
  <c r="O78" i="1"/>
  <c r="P76" i="1"/>
  <c r="P77" i="1" s="1"/>
  <c r="P78" i="1" l="1"/>
  <c r="Q76" i="1"/>
  <c r="Q77" i="1" s="1"/>
  <c r="R76" i="1" l="1"/>
  <c r="R77" i="1" s="1"/>
  <c r="Q78" i="1"/>
  <c r="R78" i="1" l="1"/>
  <c r="S76" i="1"/>
  <c r="S77" i="1" s="1"/>
  <c r="S78" i="1" l="1"/>
  <c r="T76" i="1"/>
  <c r="T77" i="1" s="1"/>
  <c r="U76" i="1" l="1"/>
  <c r="U77" i="1" s="1"/>
  <c r="T78" i="1"/>
  <c r="U78" i="1" l="1"/>
  <c r="V76" i="1"/>
  <c r="V77" i="1" s="1"/>
  <c r="W76" i="1" l="1"/>
  <c r="W77" i="1" s="1"/>
  <c r="V78" i="1"/>
  <c r="X76" i="1" l="1"/>
  <c r="X77" i="1" s="1"/>
  <c r="W78" i="1"/>
  <c r="X78" i="1" l="1"/>
  <c r="Y76" i="1"/>
  <c r="Y77" i="1" s="1"/>
  <c r="Z76" i="1" l="1"/>
  <c r="Z77" i="1" s="1"/>
  <c r="Y78" i="1"/>
  <c r="Z78" i="1" l="1"/>
  <c r="AA76" i="1"/>
  <c r="AA77" i="1" s="1"/>
  <c r="AA78" i="1" l="1"/>
  <c r="AB76" i="1"/>
  <c r="AB77" i="1" s="1"/>
  <c r="AC76" i="1" l="1"/>
  <c r="AC77" i="1" s="1"/>
  <c r="AB78" i="1"/>
  <c r="AC78" i="1" l="1"/>
  <c r="AD76" i="1"/>
  <c r="AD77" i="1" s="1"/>
  <c r="AE76" i="1" l="1"/>
  <c r="AE77" i="1" s="1"/>
  <c r="AD78" i="1"/>
  <c r="AE78" i="1" l="1"/>
  <c r="AF76" i="1"/>
  <c r="AF77" i="1" s="1"/>
  <c r="AF78" i="1" l="1"/>
  <c r="AG76" i="1"/>
  <c r="AG77" i="1" s="1"/>
  <c r="AH76" i="1" l="1"/>
  <c r="AH77" i="1" s="1"/>
  <c r="AG78" i="1"/>
  <c r="AH78" i="1" l="1"/>
  <c r="AI76" i="1"/>
  <c r="AI77" i="1" s="1"/>
  <c r="AI78" i="1" l="1"/>
  <c r="AJ76" i="1"/>
  <c r="AJ77" i="1" s="1"/>
  <c r="AK76" i="1" l="1"/>
  <c r="AK77" i="1" s="1"/>
  <c r="AJ78" i="1"/>
  <c r="AK78" i="1" l="1"/>
  <c r="AL76" i="1"/>
  <c r="AL77" i="1" s="1"/>
  <c r="AM76" i="1" l="1"/>
  <c r="AM77" i="1" s="1"/>
  <c r="AL78" i="1"/>
  <c r="AM78" i="1" l="1"/>
  <c r="AN76" i="1"/>
  <c r="AN77" i="1" s="1"/>
  <c r="AN78" i="1" l="1"/>
  <c r="AO76" i="1"/>
  <c r="AO77" i="1" s="1"/>
  <c r="AP76" i="1" l="1"/>
  <c r="AP77" i="1" s="1"/>
  <c r="AO78" i="1"/>
  <c r="AP78" i="1" l="1"/>
  <c r="AQ76" i="1"/>
  <c r="AQ77" i="1" s="1"/>
  <c r="AQ78" i="1" l="1"/>
  <c r="AR76" i="1"/>
  <c r="AR77" i="1" s="1"/>
  <c r="AS76" i="1" l="1"/>
  <c r="AS77" i="1" s="1"/>
  <c r="AR78" i="1"/>
  <c r="AS78" i="1" l="1"/>
  <c r="AT76" i="1"/>
  <c r="AT77" i="1" s="1"/>
  <c r="AU76" i="1" l="1"/>
  <c r="AU77" i="1" s="1"/>
  <c r="AT78" i="1"/>
  <c r="AU78" i="1" l="1"/>
  <c r="AV76" i="1"/>
  <c r="AV77" i="1" s="1"/>
  <c r="AV78" i="1" l="1"/>
  <c r="AW76" i="1"/>
  <c r="AW77" i="1" s="1"/>
  <c r="AX76" i="1" l="1"/>
  <c r="AX77" i="1" s="1"/>
  <c r="AW78" i="1"/>
  <c r="AX78" i="1" l="1"/>
  <c r="AY76" i="1"/>
  <c r="AY77" i="1" s="1"/>
  <c r="AY78" i="1" l="1"/>
  <c r="AZ76" i="1"/>
  <c r="AZ77" i="1" s="1"/>
  <c r="BA76" i="1" l="1"/>
  <c r="BA77" i="1" s="1"/>
  <c r="AZ78" i="1"/>
  <c r="BA78" i="1" l="1"/>
  <c r="BB76" i="1"/>
  <c r="BB77" i="1" s="1"/>
  <c r="BC76" i="1" l="1"/>
  <c r="BC77" i="1" s="1"/>
  <c r="BB78" i="1"/>
  <c r="BD76" i="1" l="1"/>
  <c r="BD77" i="1" s="1"/>
  <c r="BC78" i="1"/>
  <c r="BD78" i="1" l="1"/>
  <c r="BE76" i="1"/>
  <c r="BE77" i="1" s="1"/>
  <c r="BF76" i="1" l="1"/>
  <c r="BF77" i="1" s="1"/>
  <c r="BF78" i="1" s="1"/>
  <c r="BE7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BamSEC</author>
  </authors>
  <commentList>
    <comment ref="H6" authorId="0" shapeId="0" xr:uid="{C47FDE7C-A8A5-41E0-9987-1A6219F22A00}">
      <text>
        <r>
          <rPr>
            <sz val="11"/>
            <color theme="1"/>
            <rFont val="新細明體"/>
            <family val="2"/>
            <scheme val="minor"/>
          </rPr>
          <t>Variations found in other tables:
"Adjustments to reconcile net loss to net cash provided by operating activities:" found in:
- 10-Q filed on 2019-05-17 (https://www.bamsec.com/filing/162828019006928/1?table=32)</t>
        </r>
      </text>
    </comment>
    <comment ref="H17" authorId="0" shapeId="0" xr:uid="{4FEA098D-95EF-4929-952A-E1DC3FDF3BD6}">
      <text>
        <r>
          <rPr>
            <sz val="11"/>
            <color theme="1"/>
            <rFont val="新細明體"/>
            <family val="2"/>
            <scheme val="minor"/>
          </rPr>
          <t>Variations found in other tables:
"Net cash provided by operating activities" found in:
- 10-Q filed on 2019-05-17 (https://www.bamsec.com/filing/162828019006928/1?table=32)</t>
        </r>
      </text>
    </comment>
    <comment ref="H19" authorId="0" shapeId="0" xr:uid="{BB2198F3-01E2-46A8-A004-A7F90903A82C}">
      <text>
        <r>
          <rPr>
            <sz val="11"/>
            <color theme="1"/>
            <rFont val="新細明體"/>
            <family val="2"/>
            <scheme val="minor"/>
          </rPr>
          <t>Variations found in other tables:
"Purchases of property and equipment and intangible assets" found in:
- 10-Q filed on 2019-08-02 (https://www.bamsec.com/filing/162828019009806/1?table=34)</t>
        </r>
      </text>
    </comment>
    <comment ref="H23" authorId="0" shapeId="0" xr:uid="{501FEC52-09DB-4051-AAF4-2092C3FB79F3}">
      <text>
        <r>
          <rPr>
            <sz val="11"/>
            <color theme="1"/>
            <rFont val="新細明體"/>
            <family val="2"/>
            <scheme val="minor"/>
          </rPr>
          <t>Variations found in other tables:
"Net cash provided by (used in) investing activities" found in:
- 10-Q filed on 2019-05-17 (https://www.bamsec.com/filing/162828019006928/1?table=32)</t>
        </r>
      </text>
    </comment>
    <comment ref="H30" authorId="0" shapeId="0" xr:uid="{389F4565-758E-4AB6-9FD7-D8710FA869C8}">
      <text>
        <r>
          <rPr>
            <sz val="11"/>
            <color theme="1"/>
            <rFont val="新細明體"/>
            <family val="2"/>
            <scheme val="minor"/>
          </rPr>
          <t>Variations found in other tables:
"Net cash provided by (used in) financing activities" found in:
- 10-Q filed on 2019-05-17 (https://www.bamsec.com/filing/162828019006928/1?table=32)</t>
        </r>
      </text>
    </comment>
    <comment ref="B40" authorId="0" shapeId="0" xr:uid="{86637B50-6255-4138-AA7B-62418A541966}">
      <text>
        <r>
          <rPr>
            <sz val="11"/>
            <color theme="1"/>
            <rFont val="新細明體"/>
            <family val="2"/>
            <scheme val="minor"/>
          </rPr>
          <t>Variations found in other tables:
"Accounts receivable, net of allowances of $2,533 and $3,097 as of June 30, 2019 and December 31, 2018, respectively" found in:
- 10-Q filed on 2019-08-02 (https://www.bamsec.com/filing/162828019009806/1?table=27)</t>
        </r>
      </text>
    </comment>
    <comment ref="B58" authorId="0" shapeId="0" xr:uid="{0BECB27E-9126-4B4C-AD20-AE79E4C59163}">
      <text>
        <r>
          <rPr>
            <sz val="11"/>
            <color theme="1"/>
            <rFont val="新細明體"/>
            <family val="2"/>
            <scheme val="minor"/>
          </rPr>
          <t>Variations found in other tables:
"Redeemable convertible preferred stock, $0.00001 par value; no shares authorized, issued or outstanding as of June 30, 2019; 928,676 shares authorized, 308,373 shares issued and outstanding as of December 31, 2018" found in:
- 10-Q filed on 2019-08-02 (https://www.bamsec.com/filing/162828019009806/1?table=27)</t>
        </r>
      </text>
    </comment>
    <comment ref="B60" authorId="0" shapeId="0" xr:uid="{5834B304-1E01-469C-A45C-F8867DBEF2DE}">
      <text>
        <r>
          <rPr>
            <sz val="11"/>
            <color theme="1"/>
            <rFont val="新細明體"/>
            <family val="2"/>
            <scheme val="minor"/>
          </rPr>
          <t>Variations found in other tables:
"Common stock, $0.00001 par value, no shares authorized, issued or outstanding as of June 30, 2019; 1,932,500 shares authorized, 127,298 shares issued and outstanding as of December 31, 2018" found in:
- 10-Q filed on 2019-08-02 (https://www.bamsec.com/filing/162828019009806/1?table=27)</t>
        </r>
      </text>
    </comment>
    <comment ref="B63" authorId="0" shapeId="0" xr:uid="{9D26149D-1653-4FA3-A6F5-2C3C8E556308}">
      <text>
        <r>
          <rPr>
            <sz val="11"/>
            <color theme="1"/>
            <rFont val="新細明體"/>
            <family val="2"/>
            <scheme val="minor"/>
          </rPr>
          <t>Variations found in other tables:
"Accumulated other comprehensive income (loss)" found in:
- 10-Q filed on 2019-08-02 (https://www.bamsec.com/filing/162828019009806/1?table=27)</t>
        </r>
      </text>
    </comment>
  </commentList>
</comments>
</file>

<file path=xl/sharedStrings.xml><?xml version="1.0" encoding="utf-8"?>
<sst xmlns="http://schemas.openxmlformats.org/spreadsheetml/2006/main" count="726" uniqueCount="259">
  <si>
    <t>Revenue</t>
  </si>
  <si>
    <t>Gross Profit</t>
    <phoneticPr fontId="2" type="noConversion"/>
  </si>
  <si>
    <t>Gross Margin (%)</t>
    <phoneticPr fontId="2" type="noConversion"/>
  </si>
  <si>
    <t>QoQ (%)</t>
    <phoneticPr fontId="2" type="noConversion"/>
  </si>
  <si>
    <t>YoY (%)</t>
    <phoneticPr fontId="2" type="noConversion"/>
  </si>
  <si>
    <t>Operating P&amp;L</t>
    <phoneticPr fontId="2" type="noConversion"/>
  </si>
  <si>
    <t>Operating Margin (%)</t>
    <phoneticPr fontId="2" type="noConversion"/>
  </si>
  <si>
    <t>x</t>
    <phoneticPr fontId="2" type="noConversion"/>
  </si>
  <si>
    <t>(In thousands)</t>
    <phoneticPr fontId="2" type="noConversion"/>
  </si>
  <si>
    <t>Research &amp; Development Exp.</t>
    <phoneticPr fontId="2" type="noConversion"/>
  </si>
  <si>
    <t>Sales &amp; Marketing Exp.</t>
    <phoneticPr fontId="2" type="noConversion"/>
  </si>
  <si>
    <t>R&amp;D Exp. Ratio (%)</t>
    <phoneticPr fontId="2" type="noConversion"/>
  </si>
  <si>
    <t>S&amp;M Exp. Ratio (%)</t>
    <phoneticPr fontId="2" type="noConversion"/>
  </si>
  <si>
    <t>General &amp; Administrative Exp.</t>
    <phoneticPr fontId="2" type="noConversion"/>
  </si>
  <si>
    <t>G&amp;A Exp. Ratio</t>
    <phoneticPr fontId="2" type="noConversion"/>
  </si>
  <si>
    <t>Cost of Revenue</t>
    <phoneticPr fontId="2" type="noConversion"/>
  </si>
  <si>
    <t>Adjusted EBITDA Margin (%)</t>
    <phoneticPr fontId="2" type="noConversion"/>
  </si>
  <si>
    <t>QoQ Percentage Point Change</t>
    <phoneticPr fontId="2" type="noConversion"/>
  </si>
  <si>
    <t>YoY Percentage Point Change</t>
    <phoneticPr fontId="2" type="noConversion"/>
  </si>
  <si>
    <t>+ SBC</t>
    <phoneticPr fontId="2" type="noConversion"/>
  </si>
  <si>
    <t>= Adjusted EBITDA</t>
    <phoneticPr fontId="2" type="noConversion"/>
  </si>
  <si>
    <t>Income / Loss before Income Taxes</t>
    <phoneticPr fontId="2" type="noConversion"/>
  </si>
  <si>
    <t>Net Income / Loss</t>
    <phoneticPr fontId="2" type="noConversion"/>
  </si>
  <si>
    <t>Total share-based compensation</t>
  </si>
  <si>
    <t>as % of Cost of Revenue</t>
    <phoneticPr fontId="2" type="noConversion"/>
  </si>
  <si>
    <t>Cost of Revenue - SBC</t>
    <phoneticPr fontId="2" type="noConversion"/>
  </si>
  <si>
    <t>R&amp;D Exp. - SBC</t>
    <phoneticPr fontId="2" type="noConversion"/>
  </si>
  <si>
    <t>as % of R&amp;D Exp.</t>
    <phoneticPr fontId="2" type="noConversion"/>
  </si>
  <si>
    <t>S&amp;M Exp. - SBC</t>
    <phoneticPr fontId="2" type="noConversion"/>
  </si>
  <si>
    <t>as % of S&amp;M Exp.</t>
    <phoneticPr fontId="2" type="noConversion"/>
  </si>
  <si>
    <t>as % of G&amp;A Exp.</t>
    <phoneticPr fontId="2" type="noConversion"/>
  </si>
  <si>
    <t>G&amp;A Exp.</t>
    <phoneticPr fontId="2" type="noConversion"/>
  </si>
  <si>
    <t>Unrecognized SBC Remaining Balance</t>
    <phoneticPr fontId="2" type="noConversion"/>
  </si>
  <si>
    <t>Remaining Qs</t>
    <phoneticPr fontId="2" type="noConversion"/>
  </si>
  <si>
    <t>Unrecognized SBC Charges</t>
    <phoneticPr fontId="2" type="noConversion"/>
  </si>
  <si>
    <t>R&amp;D</t>
    <phoneticPr fontId="2" type="noConversion"/>
  </si>
  <si>
    <t>S&amp;M</t>
    <phoneticPr fontId="2" type="noConversion"/>
  </si>
  <si>
    <t>G&amp;A</t>
    <phoneticPr fontId="2" type="noConversion"/>
  </si>
  <si>
    <t>SBC w/o Unrecognized RSU Charges</t>
    <phoneticPr fontId="2" type="noConversion"/>
  </si>
  <si>
    <t>Opex Before Unrecognized RSU Charge</t>
    <phoneticPr fontId="2" type="noConversion"/>
  </si>
  <si>
    <t>&gt;&gt;&gt; Projection &gt;&gt;&gt;</t>
    <phoneticPr fontId="2" type="noConversion"/>
  </si>
  <si>
    <t>&lt; Historical &gt;</t>
    <phoneticPr fontId="2" type="noConversion"/>
  </si>
  <si>
    <t>US MAU (M)</t>
    <phoneticPr fontId="2" type="noConversion"/>
  </si>
  <si>
    <t>US ARPU ($)</t>
    <phoneticPr fontId="2" type="noConversion"/>
  </si>
  <si>
    <t>Int'l MAU (M)</t>
    <phoneticPr fontId="2" type="noConversion"/>
  </si>
  <si>
    <t>Int'l ARPU ($)</t>
    <phoneticPr fontId="2" type="noConversion"/>
  </si>
  <si>
    <t>US Revenue ($K)</t>
    <phoneticPr fontId="2" type="noConversion"/>
  </si>
  <si>
    <t>Int'l Revenue ($K)</t>
    <phoneticPr fontId="2" type="noConversion"/>
  </si>
  <si>
    <t>Global MAU (M)</t>
    <phoneticPr fontId="2" type="noConversion"/>
  </si>
  <si>
    <t>Net Addition</t>
    <phoneticPr fontId="2" type="noConversion"/>
  </si>
  <si>
    <t>QoQ Increase / (Decease)</t>
    <phoneticPr fontId="2" type="noConversion"/>
  </si>
  <si>
    <t>YoY Increase / (Decease)</t>
    <phoneticPr fontId="2" type="noConversion"/>
  </si>
  <si>
    <t>2nd Derivative</t>
    <phoneticPr fontId="2" type="noConversion"/>
  </si>
  <si>
    <t>Global Revenue ($K)</t>
    <phoneticPr fontId="2" type="noConversion"/>
  </si>
  <si>
    <t>All-in SBC</t>
    <phoneticPr fontId="2" type="noConversion"/>
  </si>
  <si>
    <t>R&amp;D Exp.</t>
    <phoneticPr fontId="2" type="noConversion"/>
  </si>
  <si>
    <t>S&amp;M Exp.</t>
    <phoneticPr fontId="2" type="noConversion"/>
  </si>
  <si>
    <t>GM (%) W/O Unrecognized RSU Charges</t>
    <phoneticPr fontId="2" type="noConversion"/>
  </si>
  <si>
    <t>Cost of Rev. - Unrecognized RSU Charges</t>
    <phoneticPr fontId="2" type="noConversion"/>
  </si>
  <si>
    <t>Global ARPU ($)</t>
    <phoneticPr fontId="2" type="noConversion"/>
  </si>
  <si>
    <t>Cost of Revenue / Global MAU ($)</t>
    <phoneticPr fontId="2" type="noConversion"/>
  </si>
  <si>
    <t>S&amp;M Exp. / Global MAU ($)</t>
    <phoneticPr fontId="2" type="noConversion"/>
  </si>
  <si>
    <t>Rev_Q+1 / S&amp;M Exp_Q</t>
    <phoneticPr fontId="2" type="noConversion"/>
  </si>
  <si>
    <t>From User Base Perspective</t>
    <phoneticPr fontId="2" type="noConversion"/>
  </si>
  <si>
    <t>Unit Cost to Serve &amp; Acquire &amp; Retain</t>
    <phoneticPr fontId="2" type="noConversion"/>
  </si>
  <si>
    <t>CM1</t>
    <phoneticPr fontId="2" type="noConversion"/>
  </si>
  <si>
    <t>CM2</t>
    <phoneticPr fontId="2" type="noConversion"/>
  </si>
  <si>
    <t>Int. Income</t>
    <phoneticPr fontId="2" type="noConversion"/>
  </si>
  <si>
    <t>Int. Exp. &amp; Other Income / Exp., net</t>
    <phoneticPr fontId="2" type="noConversion"/>
  </si>
  <si>
    <t>Annual Summary</t>
    <phoneticPr fontId="2" type="noConversion"/>
  </si>
  <si>
    <t>+ D&amp;A Exp.</t>
    <phoneticPr fontId="2" type="noConversion"/>
  </si>
  <si>
    <t>User Base</t>
    <phoneticPr fontId="2" type="noConversion"/>
  </si>
  <si>
    <t>Monetization</t>
    <phoneticPr fontId="2" type="noConversion"/>
  </si>
  <si>
    <t xml:space="preserve">Platform Economics </t>
    <phoneticPr fontId="2" type="noConversion"/>
  </si>
  <si>
    <t>From BD Perspective</t>
    <phoneticPr fontId="2" type="noConversion"/>
  </si>
  <si>
    <t>D&amp;A Exp. as % of Revenue</t>
    <phoneticPr fontId="2" type="noConversion"/>
  </si>
  <si>
    <t>james.yeh@yncm-rs.com</t>
    <phoneticPr fontId="2" type="noConversion"/>
  </si>
  <si>
    <t>Capex</t>
    <phoneticPr fontId="2" type="noConversion"/>
  </si>
  <si>
    <t>ASSETS</t>
  </si>
  <si>
    <t>Current assets:</t>
  </si>
  <si>
    <t>Cash and cash equivalents</t>
  </si>
  <si>
    <t>Marketable securities</t>
  </si>
  <si>
    <t>Accounts receivable net of allowances of $2,408 and $3,097 as of December 31, 2017 and 2018, respectively</t>
  </si>
  <si>
    <t>Prepaid expenses and other current assets</t>
  </si>
  <si>
    <t>Total current assets</t>
  </si>
  <si>
    <t>Property and equipment, net</t>
  </si>
  <si>
    <t>Operating lease right-of-use assets</t>
  </si>
  <si>
    <t>Goodwill and intangible assets, net</t>
  </si>
  <si>
    <t>Restricted cash</t>
  </si>
  <si>
    <t>Other assets</t>
  </si>
  <si>
    <t>Total assets</t>
  </si>
  <si>
    <t>LIABILITIES, REDEEMABLE CONVERTIBLE PREFERRED STOCK AND STOCKHOLDERS' EQUITY (DEFICIT)</t>
  </si>
  <si>
    <t>Current liabilities:</t>
  </si>
  <si>
    <t>Accounts payable</t>
  </si>
  <si>
    <t>Accrued expenses and other current liabilities</t>
  </si>
  <si>
    <t>Total current liabilities</t>
  </si>
  <si>
    <t>Operating lease liabilities</t>
  </si>
  <si>
    <t>Other liabilities</t>
  </si>
  <si>
    <t>Total liabilities</t>
  </si>
  <si>
    <t>Commitments and contingencies</t>
  </si>
  <si>
    <t>Redeemable convertible preferred stock, $0.00001 par value, 928,676 shares authorized; 308,373 shares issued and outstanding as of December 31, 2017 and 2018; aggregate liquidation preference of $1,466,902 as of December 31, 2017 and 2018; no shares authorized, issued and outstanding, pro forma (unaudited)</t>
  </si>
  <si>
    <t>Stockholders' equity (deficit):</t>
  </si>
  <si>
    <t>Common stock, $0.00001 par value, 1,932,500 shares authorized; 126,771 and 127,298 shares issued and outstanding as of December 31, 2017 and 2018; 452,524 shares issued and outstanding, pro forma (unaudited)</t>
  </si>
  <si>
    <t>Additional paid-in capital</t>
  </si>
  <si>
    <t>Accumulated other comprehensive loss</t>
  </si>
  <si>
    <t>Accumulated deficit</t>
  </si>
  <si>
    <t>Total stockholders' equity (deficit)</t>
  </si>
  <si>
    <t>Total liabilities, redeemable convertible preferred stock, and stockholders' equity (deficit)</t>
  </si>
  <si>
    <t>December 31,</t>
  </si>
  <si>
    <t>NWC</t>
    <phoneticPr fontId="2" type="noConversion"/>
  </si>
  <si>
    <t>Capex  as % of Revenue</t>
    <phoneticPr fontId="2" type="noConversion"/>
  </si>
  <si>
    <t>NWC as % of LTM Revenue</t>
    <phoneticPr fontId="2" type="noConversion"/>
  </si>
  <si>
    <t>March 31,</t>
  </si>
  <si>
    <t>June 30,</t>
  </si>
  <si>
    <t>Accounts receivable net of allowances of $2,600 and $3,097 as of March 31, 2019 and December 31, 2018, respectively</t>
  </si>
  <si>
    <t>Redeemable convertible preferred stock, $0.00001 par value, 928,676 shares authorized; 308,373 shares issued and outstanding as of March 31, 2019 and December 31, 2018, respectively</t>
  </si>
  <si>
    <t>Common stock, $0.00001 par value, 1,932,500 shares authorized; 127,371 and 127,298 shares issued and outstanding as of March 31, 2019 and December 31, 2018, respectively</t>
  </si>
  <si>
    <t>Class A common stock, $0.00001 par value, 6,666,667 shares authorized, 127,017 shares issued and outstanding as of June 30, 2019; Class B common stock, $0.00001 par value, 1,333,333 shares authorized, 415,688 shares issued and outstanding as of June 30, 2019; no shares authorized, issued or outstanding as of December 31, 2018 for either class</t>
  </si>
  <si>
    <t>Cash Flow</t>
    <phoneticPr fontId="2" type="noConversion"/>
  </si>
  <si>
    <t>Tax Rate</t>
    <phoneticPr fontId="2" type="noConversion"/>
  </si>
  <si>
    <t>NOPAT</t>
    <phoneticPr fontId="2" type="noConversion"/>
  </si>
  <si>
    <t>- Changes in NWC</t>
    <phoneticPr fontId="2" type="noConversion"/>
  </si>
  <si>
    <t>- Capex</t>
    <phoneticPr fontId="2" type="noConversion"/>
  </si>
  <si>
    <t>= FCF</t>
    <phoneticPr fontId="2" type="noConversion"/>
  </si>
  <si>
    <t>Capital Shortfall</t>
    <phoneticPr fontId="2" type="noConversion"/>
  </si>
  <si>
    <t>Beginning Cash &amp; Mkt Securities</t>
    <phoneticPr fontId="2" type="noConversion"/>
  </si>
  <si>
    <t>Ending Cash &amp; Mkt Securities</t>
    <phoneticPr fontId="2" type="noConversion"/>
  </si>
  <si>
    <t>Income Taxes</t>
    <phoneticPr fontId="2" type="noConversion"/>
  </si>
  <si>
    <t>Interest Income</t>
    <phoneticPr fontId="2" type="noConversion"/>
  </si>
  <si>
    <t>Int. Exp. &amp; Other Income / Exp., net</t>
  </si>
  <si>
    <t>FCF</t>
    <phoneticPr fontId="2" type="noConversion"/>
  </si>
  <si>
    <t>Monetization - Annual</t>
    <phoneticPr fontId="2" type="noConversion"/>
  </si>
  <si>
    <t>Rev_Y / S&amp;M Exp_Y</t>
    <phoneticPr fontId="2" type="noConversion"/>
  </si>
  <si>
    <t>&lt; Metrics &gt;</t>
    <phoneticPr fontId="2" type="noConversion"/>
  </si>
  <si>
    <t>Three Months Ended March 31,</t>
  </si>
  <si>
    <t>Six Months Ended June 30,</t>
  </si>
  <si>
    <t>Operating activities</t>
  </si>
  <si>
    <t>Net loss</t>
  </si>
  <si>
    <t>Adjustments to reconcile net loss to net cash used in operating activities:</t>
  </si>
  <si>
    <t>Depreciation and amortization</t>
  </si>
  <si>
    <t>Share-based compensation</t>
  </si>
  <si>
    <t>Other</t>
  </si>
  <si>
    <t>Changes in assets and liabilities:</t>
  </si>
  <si>
    <t>Accounts receivable</t>
  </si>
  <si>
    <t>Prepaid expenses and other assets</t>
  </si>
  <si>
    <t>Accrued expenses and other liabilities</t>
  </si>
  <si>
    <t>Net cash used in operating activities</t>
  </si>
  <si>
    <t>Investing activities</t>
  </si>
  <si>
    <t>Purchases of property and equipment</t>
  </si>
  <si>
    <t>Purchases of marketable securities</t>
  </si>
  <si>
    <t>Sales of marketable securities</t>
  </si>
  <si>
    <t>Maturities of marketable securities</t>
  </si>
  <si>
    <t>Net cash provided by investing activities</t>
  </si>
  <si>
    <t>Financing activities</t>
  </si>
  <si>
    <t>Proceeds from initial public offering, net of underwriters' discounts and commissions</t>
  </si>
  <si>
    <t>Proceeds from exercise of stock options, net</t>
  </si>
  <si>
    <t>Shares repurchased for tax withholdings on release of restricted stock units</t>
  </si>
  <si>
    <t>Other financing activities</t>
  </si>
  <si>
    <t>Payment of deferred offering costs and other financing activities</t>
  </si>
  <si>
    <t>Net cash provided by financing activities</t>
  </si>
  <si>
    <t>Effect of exchange rate changes on cash, cash equivalents, and restricted cash</t>
  </si>
  <si>
    <t>Net increase in cash, cash equivalents, and restricted cash</t>
  </si>
  <si>
    <t>Cash, cash equivalents, and restricted cash, beginning of period</t>
  </si>
  <si>
    <t>Cash, cash equivalents, and restricted cash, end of period</t>
  </si>
  <si>
    <t>Supplemental cash flow information</t>
  </si>
  <si>
    <t>Accrued property and equipment</t>
  </si>
  <si>
    <t>Operating lease right-of-use assets obtained in exchange for operating lease liabilities</t>
  </si>
  <si>
    <t>Incl. RSU</t>
    <phoneticPr fontId="2" type="noConversion"/>
  </si>
  <si>
    <t>Now</t>
    <phoneticPr fontId="2" type="noConversion"/>
  </si>
  <si>
    <t>Discount Rate</t>
    <phoneticPr fontId="2" type="noConversion"/>
  </si>
  <si>
    <t>PV(FCF)</t>
    <phoneticPr fontId="2" type="noConversion"/>
  </si>
  <si>
    <t>Terminal g</t>
    <phoneticPr fontId="2" type="noConversion"/>
  </si>
  <si>
    <t>Yes</t>
    <phoneticPr fontId="2" type="noConversion"/>
  </si>
  <si>
    <t>- Debt</t>
    <phoneticPr fontId="2" type="noConversion"/>
  </si>
  <si>
    <t>+ Est. Cash</t>
    <phoneticPr fontId="2" type="noConversion"/>
  </si>
  <si>
    <t xml:space="preserve">= Equity </t>
    <phoneticPr fontId="2" type="noConversion"/>
  </si>
  <si>
    <t>Class A</t>
    <phoneticPr fontId="2" type="noConversion"/>
  </si>
  <si>
    <t>Class B</t>
    <phoneticPr fontId="2" type="noConversion"/>
  </si>
  <si>
    <t>Terminal EV/EBITDA</t>
    <phoneticPr fontId="2" type="noConversion"/>
  </si>
  <si>
    <t>PV(TV_CF)</t>
    <phoneticPr fontId="2" type="noConversion"/>
  </si>
  <si>
    <t>PV(TV_EV/EBITDA)</t>
    <phoneticPr fontId="2" type="noConversion"/>
  </si>
  <si>
    <t>Pinterest</t>
    <phoneticPr fontId="2" type="noConversion"/>
  </si>
  <si>
    <t>Upside / Downside</t>
    <phoneticPr fontId="2" type="noConversion"/>
  </si>
  <si>
    <t>TV - Multiple</t>
    <phoneticPr fontId="2" type="noConversion"/>
  </si>
  <si>
    <t>TV - Perpetual g</t>
    <phoneticPr fontId="2" type="noConversion"/>
  </si>
  <si>
    <t xml:space="preserve">Google </t>
    <phoneticPr fontId="2" type="noConversion"/>
  </si>
  <si>
    <t>User Base YoY</t>
    <phoneticPr fontId="2" type="noConversion"/>
  </si>
  <si>
    <t>US MAU YoY</t>
    <phoneticPr fontId="2" type="noConversion"/>
  </si>
  <si>
    <t>Int'l MAU YoY</t>
    <phoneticPr fontId="2" type="noConversion"/>
  </si>
  <si>
    <t>Pinterest MAU (M)</t>
    <phoneticPr fontId="2" type="noConversion"/>
  </si>
  <si>
    <t>Pinterest Monetization</t>
    <phoneticPr fontId="2" type="noConversion"/>
  </si>
  <si>
    <t>2019E</t>
    <phoneticPr fontId="2" type="noConversion"/>
  </si>
  <si>
    <t>2020E</t>
  </si>
  <si>
    <t>2021E</t>
  </si>
  <si>
    <t>2022E</t>
  </si>
  <si>
    <t>2023E</t>
  </si>
  <si>
    <t>2024E</t>
  </si>
  <si>
    <t>2025E</t>
  </si>
  <si>
    <t>2026E</t>
  </si>
  <si>
    <t>2027E</t>
  </si>
  <si>
    <t>2028E</t>
  </si>
  <si>
    <t>2029E</t>
  </si>
  <si>
    <t>2030E</t>
  </si>
  <si>
    <t>US ARPU ($)</t>
  </si>
  <si>
    <t>Int'l ARPU ($)</t>
  </si>
  <si>
    <t>Global ARPU ($)</t>
  </si>
  <si>
    <t>US Revenue ($M)</t>
    <phoneticPr fontId="2" type="noConversion"/>
  </si>
  <si>
    <t>Int'l Revenue ($M)</t>
    <phoneticPr fontId="2" type="noConversion"/>
  </si>
  <si>
    <t>Global Revenue ($M)</t>
    <phoneticPr fontId="2" type="noConversion"/>
  </si>
  <si>
    <t>US Rev YoY</t>
    <phoneticPr fontId="2" type="noConversion"/>
  </si>
  <si>
    <t>Int'l Rev YoY</t>
    <phoneticPr fontId="2" type="noConversion"/>
  </si>
  <si>
    <t>Global Rev YoY</t>
    <phoneticPr fontId="2" type="noConversion"/>
  </si>
  <si>
    <t>| Current |</t>
    <phoneticPr fontId="2" type="noConversion"/>
  </si>
  <si>
    <t>EBITDA Margin (%)</t>
    <phoneticPr fontId="2" type="noConversion"/>
  </si>
  <si>
    <t>= EBITDA</t>
    <phoneticPr fontId="2" type="noConversion"/>
  </si>
  <si>
    <t>Twitter</t>
    <phoneticPr fontId="2" type="noConversion"/>
  </si>
  <si>
    <t>Facebook</t>
    <phoneticPr fontId="2" type="noConversion"/>
  </si>
  <si>
    <t>Snapchat</t>
    <phoneticPr fontId="2" type="noConversion"/>
  </si>
  <si>
    <t>EV / EBITDA (LTM)</t>
    <phoneticPr fontId="2" type="noConversion"/>
  </si>
  <si>
    <t>EV / EBIT (LTM)</t>
    <phoneticPr fontId="2" type="noConversion"/>
  </si>
  <si>
    <t>EBIT Margin (LTM)</t>
    <phoneticPr fontId="2" type="noConversion"/>
  </si>
  <si>
    <t>EBITDA Margin (LTM)</t>
    <phoneticPr fontId="2" type="noConversion"/>
  </si>
  <si>
    <t>EV / Rev (LTM)</t>
    <phoneticPr fontId="2" type="noConversion"/>
  </si>
  <si>
    <t>Rev Growth (Con.)</t>
    <phoneticPr fontId="2" type="noConversion"/>
  </si>
  <si>
    <t>DAU (M)</t>
    <phoneticPr fontId="2" type="noConversion"/>
  </si>
  <si>
    <t>Most Recent MAU (M)</t>
    <phoneticPr fontId="2" type="noConversion"/>
  </si>
  <si>
    <t>Est. WAU</t>
    <phoneticPr fontId="2" type="noConversion"/>
  </si>
  <si>
    <t>Est. WAU/MAU</t>
    <phoneticPr fontId="2" type="noConversion"/>
  </si>
  <si>
    <t>MAU (M)</t>
    <phoneticPr fontId="2" type="noConversion"/>
  </si>
  <si>
    <t>DAU/MAU</t>
    <phoneticPr fontId="2" type="noConversion"/>
  </si>
  <si>
    <t>EV / EBIT_2030</t>
    <phoneticPr fontId="2" type="noConversion"/>
  </si>
  <si>
    <t>EV / EBITDA_2030</t>
    <phoneticPr fontId="2" type="noConversion"/>
  </si>
  <si>
    <t>EBIT Margin_2030</t>
    <phoneticPr fontId="2" type="noConversion"/>
  </si>
  <si>
    <t>EBITDA Margin_2030</t>
    <phoneticPr fontId="2" type="noConversion"/>
  </si>
  <si>
    <t>Rev Growth_19-20</t>
    <phoneticPr fontId="2" type="noConversion"/>
  </si>
  <si>
    <t>EV / Rev_2019</t>
    <phoneticPr fontId="2" type="noConversion"/>
  </si>
  <si>
    <t>Comps</t>
    <phoneticPr fontId="2" type="noConversion"/>
  </si>
  <si>
    <t>Target Co</t>
    <phoneticPr fontId="2" type="noConversion"/>
  </si>
  <si>
    <t>EV ($B)</t>
    <phoneticPr fontId="2" type="noConversion"/>
  </si>
  <si>
    <t>Mkt Cap ($B)</t>
    <phoneticPr fontId="2" type="noConversion"/>
  </si>
  <si>
    <t>DCF EV ($B)</t>
    <phoneticPr fontId="2" type="noConversion"/>
  </si>
  <si>
    <t>Share Price ($/shr)</t>
    <phoneticPr fontId="2" type="noConversion"/>
  </si>
  <si>
    <t>Share Count</t>
    <phoneticPr fontId="2" type="noConversion"/>
  </si>
  <si>
    <t>Shares Outstanding</t>
    <phoneticPr fontId="2" type="noConversion"/>
  </si>
  <si>
    <t>Mid-Year Conversion</t>
    <phoneticPr fontId="2" type="noConversion"/>
  </si>
  <si>
    <t>EV per WAU ($)</t>
    <phoneticPr fontId="2" type="noConversion"/>
  </si>
  <si>
    <t>EV per DAU ($)</t>
    <phoneticPr fontId="2" type="noConversion"/>
  </si>
  <si>
    <t>Note:</t>
    <phoneticPr fontId="2" type="noConversion"/>
  </si>
  <si>
    <t>1. The user base metric in calculation of EV per user is determined by the product use frequency.</t>
    <phoneticPr fontId="2" type="noConversion"/>
  </si>
  <si>
    <t>Annual Summary (In thousands)</t>
    <phoneticPr fontId="2" type="noConversion"/>
  </si>
  <si>
    <t>&lt; 2019/10/19 from atom finance &gt;</t>
    <phoneticPr fontId="2" type="noConversion"/>
  </si>
  <si>
    <t>US Rev %</t>
    <phoneticPr fontId="2" type="noConversion"/>
  </si>
  <si>
    <t>Int'l Rev %</t>
    <phoneticPr fontId="2" type="noConversion"/>
  </si>
  <si>
    <t>Adj. EBITDA Margin (%)</t>
    <phoneticPr fontId="2" type="noConversion"/>
  </si>
  <si>
    <t>Pinterest Margin Profile &amp; Trojectory</t>
    <phoneticPr fontId="2" type="noConversion"/>
  </si>
  <si>
    <t xml:space="preserve">Pinterest Cashflow &amp; Cash Balance </t>
    <phoneticPr fontId="2" type="noConversion"/>
  </si>
  <si>
    <t>Cash Balance</t>
    <phoneticPr fontId="2" type="noConversion"/>
  </si>
  <si>
    <t>PINS_2019/10/19</t>
    <phoneticPr fontId="2" type="noConversion"/>
  </si>
  <si>
    <t>WIP Model for Intellectual Exercise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</si>
</sst>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&quot;$&quot;* #,##0.00_-;\-&quot;$&quot;* #,##0.00_-;_-&quot;$&quot;* &quot;-&quot;??_-;_-@_-"/>
    <numFmt numFmtId="176" formatCode="#,##0_);[Red]\(#,##0\)"/>
    <numFmt numFmtId="177" formatCode="#,##0.00_);[Red]\(#,##0.00\)"/>
    <numFmt numFmtId="178" formatCode="_([$$-409]* #,##0.00_);_([$$-409]* \(#,##0.00\);_([$$-409]* &quot;-&quot;??_);_(@_)"/>
    <numFmt numFmtId="179" formatCode="#,##0_);\(#,##0\)"/>
    <numFmt numFmtId="180" formatCode="0.0%"/>
    <numFmt numFmtId="181" formatCode="0.0"/>
    <numFmt numFmtId="182" formatCode="#,##0_ "/>
    <numFmt numFmtId="183" formatCode="#,##0.00_);\(#,##0.00\)"/>
    <numFmt numFmtId="184" formatCode="0.00\x"/>
    <numFmt numFmtId="185" formatCode="_(0_);_(\(0\);_(&quot;-&quot;_);@_)"/>
    <numFmt numFmtId="186" formatCode="yyyy\-mm\-dd"/>
    <numFmt numFmtId="187" formatCode="_(\$* #,##0_);_(\$* \(#,##0\);_(\$* &quot;-&quot;_);_(@_)"/>
    <numFmt numFmtId="188" formatCode="_(#,##0_);_(\(#,##0\);_(&quot;-&quot;_);_(@_)"/>
    <numFmt numFmtId="189" formatCode="#,##0.0_ "/>
    <numFmt numFmtId="190" formatCode="#,##0.0_);\(#,##0.0\)"/>
    <numFmt numFmtId="191" formatCode="0.0\x"/>
  </numFmts>
  <fonts count="21" x14ac:knownFonts="1">
    <font>
      <sz val="11"/>
      <color theme="1"/>
      <name val="新細明體"/>
      <family val="2"/>
      <scheme val="minor"/>
    </font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Source Sans Pro"/>
      <family val="2"/>
    </font>
    <font>
      <i/>
      <sz val="11"/>
      <color theme="1"/>
      <name val="Source Sans Pro"/>
      <family val="2"/>
    </font>
    <font>
      <b/>
      <sz val="11"/>
      <color theme="1"/>
      <name val="Source Sans Pro"/>
      <family val="2"/>
    </font>
    <font>
      <b/>
      <sz val="11"/>
      <color theme="0"/>
      <name val="Source Sans Pro"/>
      <family val="2"/>
    </font>
    <font>
      <sz val="11"/>
      <color rgb="FF0000FF"/>
      <name val="Source Sans Pro"/>
      <family val="2"/>
    </font>
    <font>
      <i/>
      <sz val="11"/>
      <color rgb="FF0000FF"/>
      <name val="Source Sans Pro"/>
      <family val="2"/>
    </font>
    <font>
      <sz val="11"/>
      <name val="Source Sans Pro"/>
      <family val="2"/>
    </font>
    <font>
      <b/>
      <i/>
      <sz val="11"/>
      <color theme="1"/>
      <name val="Source Sans Pro"/>
      <family val="2"/>
    </font>
    <font>
      <u/>
      <sz val="11"/>
      <color theme="1"/>
      <name val="Source Sans Pro"/>
      <family val="2"/>
    </font>
    <font>
      <i/>
      <sz val="11"/>
      <name val="Source Sans Pro"/>
      <family val="2"/>
    </font>
    <font>
      <u/>
      <sz val="11"/>
      <color theme="10"/>
      <name val="新細明體"/>
      <family val="2"/>
      <scheme val="minor"/>
    </font>
    <font>
      <u/>
      <sz val="11"/>
      <color theme="10"/>
      <name val="Source Sans Pro"/>
      <family val="2"/>
    </font>
    <font>
      <b/>
      <sz val="11"/>
      <name val="新細明體"/>
      <family val="1"/>
      <charset val="136"/>
    </font>
    <font>
      <sz val="11"/>
      <name val="新細明體"/>
      <family val="1"/>
      <charset val="136"/>
    </font>
    <font>
      <u val="double"/>
      <sz val="11"/>
      <color theme="1"/>
      <name val="Source Sans Pro"/>
      <family val="2"/>
    </font>
    <font>
      <b/>
      <sz val="18"/>
      <color theme="1"/>
      <name val="Source Sans Pro"/>
      <family val="2"/>
    </font>
    <font>
      <b/>
      <sz val="11"/>
      <color rgb="FFFF0000"/>
      <name val="Source Sans Pro"/>
      <family val="2"/>
    </font>
    <font>
      <sz val="11"/>
      <color rgb="FFFF0000"/>
      <name val="Source Sans Pro"/>
      <family val="2"/>
    </font>
  </fonts>
  <fills count="11">
    <fill>
      <patternFill patternType="none"/>
    </fill>
    <fill>
      <patternFill patternType="gray125"/>
    </fill>
    <fill>
      <patternFill patternType="solid">
        <fgColor rgb="FFACE3EF"/>
        <bgColor indexed="64"/>
      </patternFill>
    </fill>
    <fill>
      <patternFill patternType="solid">
        <fgColor rgb="FFFCCF61"/>
        <bgColor indexed="64"/>
      </patternFill>
    </fill>
    <fill>
      <patternFill patternType="solid">
        <fgColor rgb="FF53658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 style="hair">
        <color auto="1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 style="dotted">
        <color auto="1"/>
      </left>
      <right style="dotted">
        <color auto="1"/>
      </right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/>
      <right style="thin">
        <color rgb="FFC00000"/>
      </right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dotted">
        <color auto="1"/>
      </left>
      <right style="dotted">
        <color auto="1"/>
      </right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</cellStyleXfs>
  <cellXfs count="325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9" fontId="4" fillId="0" borderId="0" xfId="0" applyNumberFormat="1" applyFont="1" applyFill="1" applyAlignment="1">
      <alignment vertical="center"/>
    </xf>
    <xf numFmtId="9" fontId="4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 indent="2"/>
    </xf>
    <xf numFmtId="0" fontId="5" fillId="2" borderId="0" xfId="0" applyFont="1" applyFill="1" applyAlignment="1">
      <alignment vertical="center"/>
    </xf>
    <xf numFmtId="179" fontId="5" fillId="2" borderId="0" xfId="0" applyNumberFormat="1" applyFont="1" applyFill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179" fontId="5" fillId="2" borderId="0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indent="2"/>
    </xf>
    <xf numFmtId="9" fontId="4" fillId="0" borderId="1" xfId="0" applyNumberFormat="1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14" fontId="3" fillId="3" borderId="0" xfId="0" applyNumberFormat="1" applyFont="1" applyFill="1" applyAlignment="1">
      <alignment vertical="center"/>
    </xf>
    <xf numFmtId="0" fontId="6" fillId="4" borderId="0" xfId="0" applyFont="1" applyFill="1" applyAlignment="1">
      <alignment vertical="center"/>
    </xf>
    <xf numFmtId="14" fontId="6" fillId="4" borderId="0" xfId="0" applyNumberFormat="1" applyFont="1" applyFill="1" applyAlignment="1">
      <alignment vertical="center"/>
    </xf>
    <xf numFmtId="179" fontId="3" fillId="0" borderId="0" xfId="0" applyNumberFormat="1" applyFont="1" applyBorder="1" applyAlignment="1">
      <alignment vertical="center"/>
    </xf>
    <xf numFmtId="9" fontId="4" fillId="0" borderId="0" xfId="0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180" fontId="3" fillId="0" borderId="0" xfId="0" applyNumberFormat="1" applyFont="1" applyAlignment="1">
      <alignment vertical="center"/>
    </xf>
    <xf numFmtId="180" fontId="7" fillId="0" borderId="0" xfId="0" applyNumberFormat="1" applyFont="1" applyFill="1" applyAlignment="1">
      <alignment vertical="center"/>
    </xf>
    <xf numFmtId="179" fontId="3" fillId="0" borderId="0" xfId="0" applyNumberFormat="1" applyFont="1" applyAlignment="1">
      <alignment vertical="center"/>
    </xf>
    <xf numFmtId="179" fontId="3" fillId="0" borderId="0" xfId="0" applyNumberFormat="1" applyFont="1" applyFill="1" applyAlignment="1">
      <alignment vertical="center"/>
    </xf>
    <xf numFmtId="0" fontId="3" fillId="5" borderId="0" xfId="0" applyFont="1" applyFill="1" applyAlignment="1">
      <alignment vertical="center"/>
    </xf>
    <xf numFmtId="10" fontId="4" fillId="5" borderId="0" xfId="0" applyNumberFormat="1" applyFont="1" applyFill="1" applyAlignment="1">
      <alignment vertical="center"/>
    </xf>
    <xf numFmtId="10" fontId="4" fillId="5" borderId="0" xfId="1" applyNumberFormat="1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 indent="2"/>
    </xf>
    <xf numFmtId="9" fontId="3" fillId="5" borderId="0" xfId="0" applyNumberFormat="1" applyFont="1" applyFill="1" applyAlignment="1">
      <alignment vertical="center"/>
    </xf>
    <xf numFmtId="180" fontId="3" fillId="5" borderId="0" xfId="0" applyNumberFormat="1" applyFont="1" applyFill="1" applyAlignment="1">
      <alignment vertical="center"/>
    </xf>
    <xf numFmtId="10" fontId="3" fillId="5" borderId="0" xfId="0" applyNumberFormat="1" applyFont="1" applyFill="1" applyAlignment="1">
      <alignment vertical="center"/>
    </xf>
    <xf numFmtId="10" fontId="8" fillId="5" borderId="0" xfId="0" applyNumberFormat="1" applyFont="1" applyFill="1" applyAlignment="1">
      <alignment vertical="center"/>
    </xf>
    <xf numFmtId="10" fontId="7" fillId="5" borderId="0" xfId="0" applyNumberFormat="1" applyFont="1" applyFill="1" applyAlignment="1">
      <alignment vertical="center"/>
    </xf>
    <xf numFmtId="9" fontId="3" fillId="0" borderId="0" xfId="0" applyNumberFormat="1" applyFont="1" applyFill="1" applyAlignment="1">
      <alignment vertical="center"/>
    </xf>
    <xf numFmtId="180" fontId="3" fillId="0" borderId="0" xfId="0" applyNumberFormat="1" applyFont="1" applyFill="1" applyAlignment="1">
      <alignment vertical="center"/>
    </xf>
    <xf numFmtId="179" fontId="3" fillId="5" borderId="0" xfId="0" applyNumberFormat="1" applyFont="1" applyFill="1" applyAlignment="1">
      <alignment vertical="center"/>
    </xf>
    <xf numFmtId="180" fontId="3" fillId="5" borderId="0" xfId="2" applyNumberFormat="1" applyFont="1" applyFill="1" applyAlignment="1">
      <alignment vertical="center"/>
    </xf>
    <xf numFmtId="0" fontId="4" fillId="5" borderId="0" xfId="0" applyFont="1" applyFill="1" applyBorder="1" applyAlignment="1">
      <alignment horizontal="left" vertical="center" indent="2"/>
    </xf>
    <xf numFmtId="9" fontId="7" fillId="5" borderId="0" xfId="0" applyNumberFormat="1" applyFont="1" applyFill="1" applyAlignment="1">
      <alignment vertical="center"/>
    </xf>
    <xf numFmtId="180" fontId="7" fillId="5" borderId="0" xfId="0" applyNumberFormat="1" applyFont="1" applyFill="1" applyAlignment="1">
      <alignment vertical="center"/>
    </xf>
    <xf numFmtId="14" fontId="6" fillId="4" borderId="2" xfId="0" applyNumberFormat="1" applyFont="1" applyFill="1" applyBorder="1" applyAlignment="1">
      <alignment vertical="center"/>
    </xf>
    <xf numFmtId="14" fontId="3" fillId="3" borderId="2" xfId="0" applyNumberFormat="1" applyFont="1" applyFill="1" applyBorder="1" applyAlignment="1">
      <alignment vertical="center"/>
    </xf>
    <xf numFmtId="179" fontId="5" fillId="2" borderId="2" xfId="0" applyNumberFormat="1" applyFont="1" applyFill="1" applyBorder="1" applyAlignment="1">
      <alignment vertical="center"/>
    </xf>
    <xf numFmtId="9" fontId="4" fillId="0" borderId="2" xfId="0" applyNumberFormat="1" applyFont="1" applyFill="1" applyBorder="1" applyAlignment="1">
      <alignment vertical="center"/>
    </xf>
    <xf numFmtId="179" fontId="3" fillId="0" borderId="6" xfId="0" applyNumberFormat="1" applyFont="1" applyBorder="1" applyAlignment="1">
      <alignment vertical="center"/>
    </xf>
    <xf numFmtId="9" fontId="4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79" fontId="3" fillId="0" borderId="2" xfId="0" applyNumberFormat="1" applyFont="1" applyBorder="1" applyAlignment="1">
      <alignment vertical="center"/>
    </xf>
    <xf numFmtId="9" fontId="4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180" fontId="7" fillId="5" borderId="2" xfId="0" applyNumberFormat="1" applyFont="1" applyFill="1" applyBorder="1" applyAlignment="1">
      <alignment vertical="center"/>
    </xf>
    <xf numFmtId="9" fontId="7" fillId="5" borderId="2" xfId="0" applyNumberFormat="1" applyFont="1" applyFill="1" applyBorder="1" applyAlignment="1">
      <alignment vertical="center"/>
    </xf>
    <xf numFmtId="10" fontId="8" fillId="5" borderId="2" xfId="0" applyNumberFormat="1" applyFont="1" applyFill="1" applyBorder="1" applyAlignment="1">
      <alignment vertical="center"/>
    </xf>
    <xf numFmtId="10" fontId="7" fillId="5" borderId="2" xfId="0" applyNumberFormat="1" applyFont="1" applyFill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0" fontId="3" fillId="2" borderId="0" xfId="0" applyFont="1" applyFill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79" fontId="5" fillId="2" borderId="7" xfId="0" applyNumberFormat="1" applyFont="1" applyFill="1" applyBorder="1" applyAlignment="1">
      <alignment vertical="center"/>
    </xf>
    <xf numFmtId="179" fontId="5" fillId="2" borderId="8" xfId="0" applyNumberFormat="1" applyFont="1" applyFill="1" applyBorder="1" applyAlignment="1">
      <alignment vertical="center"/>
    </xf>
    <xf numFmtId="0" fontId="5" fillId="3" borderId="7" xfId="0" quotePrefix="1" applyFont="1" applyFill="1" applyBorder="1" applyAlignment="1">
      <alignment vertical="center"/>
    </xf>
    <xf numFmtId="179" fontId="5" fillId="3" borderId="7" xfId="0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Border="1" applyAlignment="1">
      <alignment vertical="center"/>
    </xf>
    <xf numFmtId="1" fontId="3" fillId="0" borderId="0" xfId="0" applyNumberFormat="1" applyFont="1" applyAlignment="1">
      <alignment vertical="center"/>
    </xf>
    <xf numFmtId="9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179" fontId="3" fillId="5" borderId="2" xfId="0" applyNumberFormat="1" applyFont="1" applyFill="1" applyBorder="1" applyAlignment="1">
      <alignment vertical="center"/>
    </xf>
    <xf numFmtId="179" fontId="3" fillId="5" borderId="0" xfId="0" applyNumberFormat="1" applyFont="1" applyFill="1" applyBorder="1" applyAlignment="1">
      <alignment vertical="center"/>
    </xf>
    <xf numFmtId="10" fontId="8" fillId="5" borderId="0" xfId="0" applyNumberFormat="1" applyFont="1" applyFill="1" applyBorder="1" applyAlignment="1">
      <alignment vertical="center"/>
    </xf>
    <xf numFmtId="179" fontId="9" fillId="5" borderId="2" xfId="0" applyNumberFormat="1" applyFont="1" applyFill="1" applyBorder="1" applyAlignment="1">
      <alignment vertical="center"/>
    </xf>
    <xf numFmtId="179" fontId="9" fillId="5" borderId="0" xfId="0" applyNumberFormat="1" applyFont="1" applyFill="1" applyBorder="1" applyAlignment="1">
      <alignment vertical="center"/>
    </xf>
    <xf numFmtId="180" fontId="3" fillId="0" borderId="2" xfId="0" applyNumberFormat="1" applyFont="1" applyFill="1" applyBorder="1" applyAlignment="1">
      <alignment vertical="center"/>
    </xf>
    <xf numFmtId="9" fontId="3" fillId="0" borderId="2" xfId="0" applyNumberFormat="1" applyFont="1" applyFill="1" applyBorder="1" applyAlignment="1">
      <alignment vertical="center"/>
    </xf>
    <xf numFmtId="9" fontId="7" fillId="0" borderId="2" xfId="0" applyNumberFormat="1" applyFont="1" applyBorder="1" applyAlignment="1">
      <alignment vertical="center"/>
    </xf>
    <xf numFmtId="179" fontId="10" fillId="3" borderId="1" xfId="0" applyNumberFormat="1" applyFont="1" applyFill="1" applyBorder="1" applyAlignment="1">
      <alignment vertical="center"/>
    </xf>
    <xf numFmtId="182" fontId="3" fillId="0" borderId="0" xfId="0" applyNumberFormat="1" applyFont="1" applyAlignment="1">
      <alignment vertical="center"/>
    </xf>
    <xf numFmtId="182" fontId="3" fillId="0" borderId="1" xfId="0" applyNumberFormat="1" applyFont="1" applyBorder="1" applyAlignment="1">
      <alignment vertical="center"/>
    </xf>
    <xf numFmtId="9" fontId="3" fillId="0" borderId="1" xfId="0" applyNumberFormat="1" applyFont="1" applyBorder="1" applyAlignment="1">
      <alignment vertical="center"/>
    </xf>
    <xf numFmtId="0" fontId="11" fillId="5" borderId="0" xfId="0" applyFont="1" applyFill="1" applyAlignment="1">
      <alignment vertical="center"/>
    </xf>
    <xf numFmtId="0" fontId="3" fillId="5" borderId="0" xfId="0" applyFont="1" applyFill="1" applyBorder="1" applyAlignment="1">
      <alignment vertical="center"/>
    </xf>
    <xf numFmtId="179" fontId="7" fillId="5" borderId="0" xfId="0" applyNumberFormat="1" applyFont="1" applyFill="1" applyBorder="1" applyAlignment="1">
      <alignment vertical="center"/>
    </xf>
    <xf numFmtId="180" fontId="7" fillId="5" borderId="0" xfId="0" applyNumberFormat="1" applyFont="1" applyFill="1" applyBorder="1" applyAlignment="1">
      <alignment vertical="center"/>
    </xf>
    <xf numFmtId="180" fontId="3" fillId="5" borderId="2" xfId="0" applyNumberFormat="1" applyFont="1" applyFill="1" applyBorder="1" applyAlignment="1">
      <alignment vertical="center"/>
    </xf>
    <xf numFmtId="180" fontId="3" fillId="5" borderId="0" xfId="0" applyNumberFormat="1" applyFont="1" applyFill="1" applyBorder="1" applyAlignment="1">
      <alignment vertical="center"/>
    </xf>
    <xf numFmtId="0" fontId="3" fillId="5" borderId="0" xfId="0" applyFont="1" applyFill="1" applyAlignment="1">
      <alignment horizontal="left" vertical="center" indent="1"/>
    </xf>
    <xf numFmtId="179" fontId="5" fillId="2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indent="2"/>
    </xf>
    <xf numFmtId="181" fontId="4" fillId="0" borderId="1" xfId="0" applyNumberFormat="1" applyFont="1" applyBorder="1" applyAlignment="1">
      <alignment vertical="center"/>
    </xf>
    <xf numFmtId="181" fontId="8" fillId="0" borderId="6" xfId="0" applyNumberFormat="1" applyFont="1" applyBorder="1" applyAlignment="1">
      <alignment vertical="center"/>
    </xf>
    <xf numFmtId="181" fontId="8" fillId="0" borderId="1" xfId="0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indent="2"/>
    </xf>
    <xf numFmtId="0" fontId="4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3" fillId="0" borderId="0" xfId="0" applyFont="1"/>
    <xf numFmtId="183" fontId="9" fillId="0" borderId="2" xfId="0" applyNumberFormat="1" applyFont="1" applyBorder="1" applyAlignment="1">
      <alignment vertical="center"/>
    </xf>
    <xf numFmtId="183" fontId="9" fillId="0" borderId="0" xfId="0" applyNumberFormat="1" applyFont="1" applyAlignment="1">
      <alignment vertical="center"/>
    </xf>
    <xf numFmtId="183" fontId="3" fillId="0" borderId="0" xfId="0" applyNumberFormat="1" applyFont="1" applyFill="1" applyAlignment="1">
      <alignment vertical="center"/>
    </xf>
    <xf numFmtId="183" fontId="4" fillId="0" borderId="0" xfId="0" applyNumberFormat="1" applyFont="1" applyFill="1" applyAlignment="1">
      <alignment vertical="center"/>
    </xf>
    <xf numFmtId="183" fontId="3" fillId="0" borderId="0" xfId="0" applyNumberFormat="1" applyFont="1" applyAlignment="1">
      <alignment vertical="center"/>
    </xf>
    <xf numFmtId="183" fontId="3" fillId="0" borderId="2" xfId="0" applyNumberFormat="1" applyFont="1" applyBorder="1" applyAlignment="1">
      <alignment vertical="center"/>
    </xf>
    <xf numFmtId="183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 indent="2"/>
    </xf>
    <xf numFmtId="183" fontId="4" fillId="0" borderId="2" xfId="0" applyNumberFormat="1" applyFont="1" applyFill="1" applyBorder="1" applyAlignment="1">
      <alignment vertical="center"/>
    </xf>
    <xf numFmtId="183" fontId="4" fillId="0" borderId="0" xfId="0" applyNumberFormat="1" applyFont="1" applyAlignment="1">
      <alignment vertical="center"/>
    </xf>
    <xf numFmtId="183" fontId="4" fillId="0" borderId="2" xfId="0" applyNumberFormat="1" applyFont="1" applyBorder="1" applyAlignment="1">
      <alignment vertical="center"/>
    </xf>
    <xf numFmtId="183" fontId="4" fillId="0" borderId="1" xfId="0" applyNumberFormat="1" applyFont="1" applyFill="1" applyBorder="1" applyAlignment="1">
      <alignment vertical="center"/>
    </xf>
    <xf numFmtId="183" fontId="8" fillId="0" borderId="6" xfId="0" applyNumberFormat="1" applyFont="1" applyBorder="1" applyAlignment="1">
      <alignment vertical="center"/>
    </xf>
    <xf numFmtId="183" fontId="8" fillId="0" borderId="1" xfId="0" applyNumberFormat="1" applyFont="1" applyBorder="1" applyAlignment="1">
      <alignment vertical="center"/>
    </xf>
    <xf numFmtId="183" fontId="12" fillId="0" borderId="2" xfId="0" applyNumberFormat="1" applyFont="1" applyBorder="1" applyAlignment="1">
      <alignment vertical="center"/>
    </xf>
    <xf numFmtId="183" fontId="12" fillId="0" borderId="0" xfId="0" applyNumberFormat="1" applyFont="1" applyAlignment="1">
      <alignment vertical="center"/>
    </xf>
    <xf numFmtId="183" fontId="4" fillId="0" borderId="10" xfId="0" applyNumberFormat="1" applyFont="1" applyFill="1" applyBorder="1" applyAlignment="1">
      <alignment vertical="center"/>
    </xf>
    <xf numFmtId="183" fontId="8" fillId="0" borderId="11" xfId="0" applyNumberFormat="1" applyFont="1" applyFill="1" applyBorder="1" applyAlignment="1">
      <alignment vertical="center"/>
    </xf>
    <xf numFmtId="183" fontId="8" fillId="0" borderId="10" xfId="0" applyNumberFormat="1" applyFont="1" applyFill="1" applyBorder="1" applyAlignment="1">
      <alignment vertical="center"/>
    </xf>
    <xf numFmtId="183" fontId="8" fillId="0" borderId="10" xfId="0" applyNumberFormat="1" applyFont="1" applyBorder="1" applyAlignment="1">
      <alignment vertical="center"/>
    </xf>
    <xf numFmtId="184" fontId="3" fillId="0" borderId="0" xfId="0" applyNumberFormat="1" applyFont="1" applyFill="1" applyAlignment="1">
      <alignment vertical="center"/>
    </xf>
    <xf numFmtId="180" fontId="4" fillId="0" borderId="0" xfId="2" applyNumberFormat="1" applyFont="1" applyAlignment="1">
      <alignment vertical="center"/>
    </xf>
    <xf numFmtId="0" fontId="5" fillId="2" borderId="0" xfId="0" applyFont="1" applyFill="1" applyAlignment="1">
      <alignment horizontal="left" vertical="center"/>
    </xf>
    <xf numFmtId="9" fontId="4" fillId="2" borderId="0" xfId="0" applyNumberFormat="1" applyFont="1" applyFill="1" applyAlignment="1">
      <alignment vertical="center"/>
    </xf>
    <xf numFmtId="9" fontId="4" fillId="2" borderId="2" xfId="0" applyNumberFormat="1" applyFont="1" applyFill="1" applyBorder="1" applyAlignment="1">
      <alignment vertical="center"/>
    </xf>
    <xf numFmtId="0" fontId="4" fillId="0" borderId="0" xfId="0" applyFont="1" applyAlignment="1">
      <alignment horizontal="left" vertical="center" indent="3"/>
    </xf>
    <xf numFmtId="0" fontId="7" fillId="2" borderId="0" xfId="0" applyFont="1" applyFill="1" applyAlignment="1">
      <alignment vertical="center"/>
    </xf>
    <xf numFmtId="0" fontId="14" fillId="0" borderId="0" xfId="3" applyFont="1" applyAlignment="1">
      <alignment horizontal="right" vertical="center"/>
    </xf>
    <xf numFmtId="0" fontId="3" fillId="6" borderId="0" xfId="0" applyFont="1" applyFill="1" applyAlignment="1">
      <alignment vertical="center"/>
    </xf>
    <xf numFmtId="185" fontId="15" fillId="0" borderId="0" xfId="0" applyNumberFormat="1" applyFont="1" applyAlignment="1">
      <alignment horizontal="centerContinuous"/>
    </xf>
    <xf numFmtId="185" fontId="15" fillId="0" borderId="0" xfId="0" applyNumberFormat="1" applyFont="1" applyAlignment="1">
      <alignment horizontal="right"/>
    </xf>
    <xf numFmtId="0" fontId="3" fillId="5" borderId="0" xfId="0" applyFont="1" applyFill="1"/>
    <xf numFmtId="0" fontId="3" fillId="7" borderId="0" xfId="0" applyFont="1" applyFill="1"/>
    <xf numFmtId="186" fontId="0" fillId="0" borderId="0" xfId="0" applyNumberFormat="1" applyAlignment="1">
      <alignment horizontal="right"/>
    </xf>
    <xf numFmtId="0" fontId="15" fillId="0" borderId="0" xfId="0" applyFont="1" applyAlignment="1">
      <alignment horizontal="left"/>
    </xf>
    <xf numFmtId="0" fontId="0" fillId="0" borderId="0" xfId="0" applyAlignment="1">
      <alignment horizontal="left"/>
    </xf>
    <xf numFmtId="187" fontId="16" fillId="0" borderId="0" xfId="0" applyNumberFormat="1" applyFont="1"/>
    <xf numFmtId="188" fontId="16" fillId="0" borderId="0" xfId="0" applyNumberFormat="1" applyFont="1"/>
    <xf numFmtId="185" fontId="16" fillId="0" borderId="0" xfId="0" applyNumberFormat="1" applyFont="1" applyAlignment="1">
      <alignment horizontal="right"/>
    </xf>
    <xf numFmtId="0" fontId="0" fillId="5" borderId="0" xfId="0" applyFill="1" applyAlignment="1">
      <alignment horizontal="left"/>
    </xf>
    <xf numFmtId="188" fontId="16" fillId="5" borderId="0" xfId="0" applyNumberFormat="1" applyFont="1" applyFill="1"/>
    <xf numFmtId="0" fontId="0" fillId="0" borderId="0" xfId="0" applyFill="1" applyAlignment="1">
      <alignment horizontal="left"/>
    </xf>
    <xf numFmtId="188" fontId="16" fillId="0" borderId="0" xfId="0" applyNumberFormat="1" applyFont="1" applyFill="1"/>
    <xf numFmtId="187" fontId="16" fillId="5" borderId="0" xfId="0" applyNumberFormat="1" applyFont="1" applyFill="1"/>
    <xf numFmtId="187" fontId="3" fillId="0" borderId="0" xfId="0" applyNumberFormat="1" applyFont="1"/>
    <xf numFmtId="188" fontId="3" fillId="0" borderId="0" xfId="0" applyNumberFormat="1" applyFont="1"/>
    <xf numFmtId="9" fontId="7" fillId="0" borderId="0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vertical="center"/>
    </xf>
    <xf numFmtId="176" fontId="3" fillId="0" borderId="0" xfId="0" applyNumberFormat="1" applyFont="1" applyAlignment="1">
      <alignment vertical="center"/>
    </xf>
    <xf numFmtId="0" fontId="3" fillId="5" borderId="0" xfId="0" quotePrefix="1" applyFont="1" applyFill="1" applyAlignment="1">
      <alignment horizontal="left" vertical="center"/>
    </xf>
    <xf numFmtId="0" fontId="3" fillId="5" borderId="1" xfId="0" quotePrefix="1" applyFont="1" applyFill="1" applyBorder="1" applyAlignment="1">
      <alignment horizontal="left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179" fontId="5" fillId="2" borderId="1" xfId="0" applyNumberFormat="1" applyFont="1" applyFill="1" applyBorder="1" applyAlignment="1">
      <alignment vertical="center"/>
    </xf>
    <xf numFmtId="0" fontId="3" fillId="5" borderId="12" xfId="0" applyFont="1" applyFill="1" applyBorder="1" applyAlignment="1">
      <alignment horizontal="left" vertical="center"/>
    </xf>
    <xf numFmtId="0" fontId="3" fillId="5" borderId="13" xfId="0" applyFont="1" applyFill="1" applyBorder="1" applyAlignment="1">
      <alignment vertical="center"/>
    </xf>
    <xf numFmtId="179" fontId="7" fillId="5" borderId="13" xfId="0" applyNumberFormat="1" applyFont="1" applyFill="1" applyBorder="1" applyAlignment="1">
      <alignment vertical="center"/>
    </xf>
    <xf numFmtId="179" fontId="3" fillId="5" borderId="14" xfId="0" applyNumberFormat="1" applyFont="1" applyFill="1" applyBorder="1" applyAlignment="1">
      <alignment vertical="center"/>
    </xf>
    <xf numFmtId="179" fontId="3" fillId="5" borderId="13" xfId="0" applyNumberFormat="1" applyFont="1" applyFill="1" applyBorder="1" applyAlignment="1">
      <alignment vertical="center"/>
    </xf>
    <xf numFmtId="179" fontId="3" fillId="5" borderId="15" xfId="0" applyNumberFormat="1" applyFont="1" applyFill="1" applyBorder="1" applyAlignment="1">
      <alignment vertical="center"/>
    </xf>
    <xf numFmtId="0" fontId="3" fillId="5" borderId="16" xfId="0" applyFont="1" applyFill="1" applyBorder="1" applyAlignment="1">
      <alignment horizontal="left" vertical="center"/>
    </xf>
    <xf numFmtId="179" fontId="3" fillId="5" borderId="17" xfId="0" applyNumberFormat="1" applyFont="1" applyFill="1" applyBorder="1" applyAlignment="1">
      <alignment vertical="center"/>
    </xf>
    <xf numFmtId="0" fontId="3" fillId="5" borderId="16" xfId="0" applyFont="1" applyFill="1" applyBorder="1" applyAlignment="1">
      <alignment horizontal="left" vertical="center" indent="2"/>
    </xf>
    <xf numFmtId="180" fontId="3" fillId="5" borderId="17" xfId="0" applyNumberFormat="1" applyFont="1" applyFill="1" applyBorder="1" applyAlignment="1">
      <alignment vertical="center"/>
    </xf>
    <xf numFmtId="0" fontId="3" fillId="5" borderId="18" xfId="0" applyFont="1" applyFill="1" applyBorder="1" applyAlignment="1">
      <alignment horizontal="left" vertical="center" indent="2"/>
    </xf>
    <xf numFmtId="0" fontId="3" fillId="5" borderId="19" xfId="0" applyFont="1" applyFill="1" applyBorder="1" applyAlignment="1">
      <alignment vertical="center"/>
    </xf>
    <xf numFmtId="180" fontId="7" fillId="5" borderId="19" xfId="0" applyNumberFormat="1" applyFont="1" applyFill="1" applyBorder="1" applyAlignment="1">
      <alignment vertical="center"/>
    </xf>
    <xf numFmtId="180" fontId="3" fillId="5" borderId="19" xfId="0" applyNumberFormat="1" applyFont="1" applyFill="1" applyBorder="1" applyAlignment="1">
      <alignment vertical="center"/>
    </xf>
    <xf numFmtId="180" fontId="3" fillId="5" borderId="21" xfId="0" applyNumberFormat="1" applyFont="1" applyFill="1" applyBorder="1" applyAlignment="1">
      <alignment vertical="center"/>
    </xf>
    <xf numFmtId="189" fontId="3" fillId="0" borderId="0" xfId="0" applyNumberFormat="1" applyFont="1" applyAlignment="1">
      <alignment vertical="center"/>
    </xf>
    <xf numFmtId="183" fontId="3" fillId="0" borderId="1" xfId="0" applyNumberFormat="1" applyFont="1" applyBorder="1" applyAlignment="1">
      <alignment vertical="center"/>
    </xf>
    <xf numFmtId="183" fontId="4" fillId="0" borderId="1" xfId="0" applyNumberFormat="1" applyFont="1" applyBorder="1" applyAlignment="1">
      <alignment vertical="center"/>
    </xf>
    <xf numFmtId="183" fontId="4" fillId="0" borderId="22" xfId="0" applyNumberFormat="1" applyFont="1" applyBorder="1" applyAlignment="1">
      <alignment vertical="center"/>
    </xf>
    <xf numFmtId="182" fontId="3" fillId="0" borderId="22" xfId="0" applyNumberFormat="1" applyFont="1" applyBorder="1" applyAlignment="1">
      <alignment vertical="center"/>
    </xf>
    <xf numFmtId="182" fontId="5" fillId="2" borderId="0" xfId="0" applyNumberFormat="1" applyFont="1" applyFill="1" applyAlignment="1">
      <alignment vertical="center"/>
    </xf>
    <xf numFmtId="182" fontId="5" fillId="3" borderId="7" xfId="0" applyNumberFormat="1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indent="1"/>
    </xf>
    <xf numFmtId="183" fontId="3" fillId="0" borderId="1" xfId="0" applyNumberFormat="1" applyFont="1" applyFill="1" applyBorder="1" applyAlignment="1">
      <alignment vertical="center"/>
    </xf>
    <xf numFmtId="180" fontId="4" fillId="0" borderId="0" xfId="0" applyNumberFormat="1" applyFont="1" applyAlignment="1">
      <alignment vertical="center"/>
    </xf>
    <xf numFmtId="182" fontId="3" fillId="5" borderId="0" xfId="0" applyNumberFormat="1" applyFont="1" applyFill="1" applyAlignment="1">
      <alignment vertical="center"/>
    </xf>
    <xf numFmtId="180" fontId="4" fillId="5" borderId="0" xfId="0" applyNumberFormat="1" applyFont="1" applyFill="1" applyAlignment="1">
      <alignment vertical="center"/>
    </xf>
    <xf numFmtId="0" fontId="5" fillId="2" borderId="0" xfId="0" applyFont="1" applyFill="1" applyBorder="1" applyAlignment="1">
      <alignment horizontal="left" vertical="center" indent="1"/>
    </xf>
    <xf numFmtId="0" fontId="3" fillId="8" borderId="2" xfId="0" applyFont="1" applyFill="1" applyBorder="1" applyAlignment="1">
      <alignment horizontal="center" vertical="center"/>
    </xf>
    <xf numFmtId="179" fontId="10" fillId="3" borderId="6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183" fontId="3" fillId="0" borderId="2" xfId="0" applyNumberFormat="1" applyFont="1" applyFill="1" applyBorder="1" applyAlignment="1">
      <alignment vertical="center"/>
    </xf>
    <xf numFmtId="183" fontId="3" fillId="0" borderId="6" xfId="0" applyNumberFormat="1" applyFont="1" applyFill="1" applyBorder="1" applyAlignment="1">
      <alignment vertical="center"/>
    </xf>
    <xf numFmtId="184" fontId="3" fillId="0" borderId="2" xfId="0" applyNumberFormat="1" applyFont="1" applyFill="1" applyBorder="1" applyAlignment="1">
      <alignment vertical="center"/>
    </xf>
    <xf numFmtId="9" fontId="4" fillId="5" borderId="0" xfId="0" applyNumberFormat="1" applyFont="1" applyFill="1" applyAlignment="1">
      <alignment vertical="center"/>
    </xf>
    <xf numFmtId="176" fontId="3" fillId="5" borderId="0" xfId="0" applyNumberFormat="1" applyFont="1" applyFill="1" applyAlignment="1">
      <alignment vertical="center"/>
    </xf>
    <xf numFmtId="182" fontId="3" fillId="5" borderId="1" xfId="0" applyNumberFormat="1" applyFont="1" applyFill="1" applyBorder="1" applyAlignment="1">
      <alignment vertical="center"/>
    </xf>
    <xf numFmtId="179" fontId="3" fillId="5" borderId="1" xfId="0" applyNumberFormat="1" applyFont="1" applyFill="1" applyBorder="1" applyAlignment="1">
      <alignment vertical="center"/>
    </xf>
    <xf numFmtId="0" fontId="3" fillId="10" borderId="0" xfId="0" applyFont="1" applyFill="1" applyAlignment="1">
      <alignment vertical="center"/>
    </xf>
    <xf numFmtId="180" fontId="3" fillId="10" borderId="0" xfId="0" applyNumberFormat="1" applyFont="1" applyFill="1" applyAlignment="1">
      <alignment vertical="center"/>
    </xf>
    <xf numFmtId="179" fontId="3" fillId="10" borderId="0" xfId="0" applyNumberFormat="1" applyFont="1" applyFill="1" applyAlignment="1">
      <alignment vertical="center"/>
    </xf>
    <xf numFmtId="0" fontId="3" fillId="10" borderId="0" xfId="0" applyFont="1" applyFill="1" applyAlignment="1">
      <alignment horizontal="left" vertical="center"/>
    </xf>
    <xf numFmtId="182" fontId="3" fillId="10" borderId="0" xfId="0" applyNumberFormat="1" applyFont="1" applyFill="1" applyAlignment="1">
      <alignment vertical="center"/>
    </xf>
    <xf numFmtId="0" fontId="3" fillId="10" borderId="0" xfId="0" applyFont="1" applyFill="1" applyAlignment="1">
      <alignment horizontal="left" vertical="center" indent="1"/>
    </xf>
    <xf numFmtId="0" fontId="3" fillId="10" borderId="0" xfId="0" applyFont="1" applyFill="1" applyAlignment="1">
      <alignment horizontal="left" vertical="center" indent="2"/>
    </xf>
    <xf numFmtId="9" fontId="3" fillId="10" borderId="0" xfId="0" applyNumberFormat="1" applyFont="1" applyFill="1" applyAlignment="1">
      <alignment vertical="center"/>
    </xf>
    <xf numFmtId="9" fontId="7" fillId="10" borderId="2" xfId="0" applyNumberFormat="1" applyFont="1" applyFill="1" applyBorder="1" applyAlignment="1">
      <alignment vertical="center"/>
    </xf>
    <xf numFmtId="9" fontId="7" fillId="10" borderId="0" xfId="0" applyNumberFormat="1" applyFont="1" applyFill="1" applyAlignment="1">
      <alignment vertical="center"/>
    </xf>
    <xf numFmtId="179" fontId="3" fillId="10" borderId="2" xfId="0" applyNumberFormat="1" applyFont="1" applyFill="1" applyBorder="1" applyAlignment="1">
      <alignment vertical="center"/>
    </xf>
    <xf numFmtId="179" fontId="3" fillId="10" borderId="0" xfId="0" applyNumberFormat="1" applyFont="1" applyFill="1" applyBorder="1" applyAlignment="1">
      <alignment vertical="center"/>
    </xf>
    <xf numFmtId="0" fontId="3" fillId="10" borderId="2" xfId="0" applyFont="1" applyFill="1" applyBorder="1" applyAlignment="1">
      <alignment vertical="center"/>
    </xf>
    <xf numFmtId="180" fontId="7" fillId="10" borderId="2" xfId="0" applyNumberFormat="1" applyFont="1" applyFill="1" applyBorder="1" applyAlignment="1">
      <alignment vertical="center"/>
    </xf>
    <xf numFmtId="180" fontId="7" fillId="10" borderId="0" xfId="0" applyNumberFormat="1" applyFont="1" applyFill="1" applyAlignment="1">
      <alignment vertical="center"/>
    </xf>
    <xf numFmtId="180" fontId="3" fillId="10" borderId="0" xfId="2" applyNumberFormat="1" applyFont="1" applyFill="1" applyAlignment="1">
      <alignment vertical="center"/>
    </xf>
    <xf numFmtId="9" fontId="7" fillId="10" borderId="0" xfId="0" applyNumberFormat="1" applyFont="1" applyFill="1" applyBorder="1" applyAlignment="1">
      <alignment vertical="center"/>
    </xf>
    <xf numFmtId="179" fontId="7" fillId="10" borderId="2" xfId="0" applyNumberFormat="1" applyFont="1" applyFill="1" applyBorder="1" applyAlignment="1">
      <alignment vertical="center"/>
    </xf>
    <xf numFmtId="179" fontId="7" fillId="10" borderId="0" xfId="0" applyNumberFormat="1" applyFont="1" applyFill="1" applyAlignment="1">
      <alignment vertical="center"/>
    </xf>
    <xf numFmtId="180" fontId="7" fillId="5" borderId="17" xfId="0" applyNumberFormat="1" applyFont="1" applyFill="1" applyBorder="1" applyAlignment="1">
      <alignment vertical="center"/>
    </xf>
    <xf numFmtId="180" fontId="7" fillId="5" borderId="20" xfId="0" applyNumberFormat="1" applyFont="1" applyFill="1" applyBorder="1" applyAlignment="1">
      <alignment vertical="center"/>
    </xf>
    <xf numFmtId="180" fontId="7" fillId="5" borderId="21" xfId="0" applyNumberFormat="1" applyFont="1" applyFill="1" applyBorder="1" applyAlignment="1">
      <alignment vertical="center"/>
    </xf>
    <xf numFmtId="0" fontId="3" fillId="8" borderId="3" xfId="0" applyFont="1" applyFill="1" applyBorder="1" applyAlignment="1">
      <alignment vertical="center"/>
    </xf>
    <xf numFmtId="179" fontId="3" fillId="8" borderId="4" xfId="0" applyNumberFormat="1" applyFont="1" applyFill="1" applyBorder="1" applyAlignment="1">
      <alignment vertical="center"/>
    </xf>
    <xf numFmtId="180" fontId="3" fillId="8" borderId="4" xfId="0" applyNumberFormat="1" applyFont="1" applyFill="1" applyBorder="1" applyAlignment="1">
      <alignment vertical="center"/>
    </xf>
    <xf numFmtId="180" fontId="3" fillId="8" borderId="4" xfId="2" applyNumberFormat="1" applyFont="1" applyFill="1" applyBorder="1" applyAlignment="1">
      <alignment vertical="center"/>
    </xf>
    <xf numFmtId="180" fontId="3" fillId="8" borderId="5" xfId="0" applyNumberFormat="1" applyFont="1" applyFill="1" applyBorder="1" applyAlignment="1">
      <alignment vertical="center"/>
    </xf>
    <xf numFmtId="10" fontId="4" fillId="8" borderId="4" xfId="0" applyNumberFormat="1" applyFont="1" applyFill="1" applyBorder="1" applyAlignment="1">
      <alignment vertical="center"/>
    </xf>
    <xf numFmtId="10" fontId="4" fillId="8" borderId="4" xfId="1" applyNumberFormat="1" applyFont="1" applyFill="1" applyBorder="1" applyAlignment="1">
      <alignment vertical="center"/>
    </xf>
    <xf numFmtId="9" fontId="3" fillId="8" borderId="5" xfId="0" applyNumberFormat="1" applyFont="1" applyFill="1" applyBorder="1" applyAlignment="1">
      <alignment vertical="center"/>
    </xf>
    <xf numFmtId="1" fontId="3" fillId="5" borderId="0" xfId="0" applyNumberFormat="1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 applyAlignment="1">
      <alignment vertical="center"/>
    </xf>
    <xf numFmtId="0" fontId="4" fillId="0" borderId="1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179" fontId="3" fillId="0" borderId="24" xfId="0" applyNumberFormat="1" applyFont="1" applyBorder="1" applyAlignment="1">
      <alignment vertical="center"/>
    </xf>
    <xf numFmtId="0" fontId="3" fillId="0" borderId="4" xfId="0" quotePrefix="1" applyFont="1" applyBorder="1" applyAlignment="1">
      <alignment horizontal="right" vertical="center"/>
    </xf>
    <xf numFmtId="0" fontId="11" fillId="0" borderId="4" xfId="0" quotePrefix="1" applyFont="1" applyBorder="1" applyAlignment="1">
      <alignment horizontal="right" vertical="center"/>
    </xf>
    <xf numFmtId="0" fontId="17" fillId="0" borderId="4" xfId="0" quotePrefix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179" fontId="3" fillId="0" borderId="4" xfId="0" applyNumberFormat="1" applyFont="1" applyBorder="1" applyAlignment="1">
      <alignment vertical="center"/>
    </xf>
    <xf numFmtId="179" fontId="3" fillId="0" borderId="5" xfId="0" applyNumberFormat="1" applyFont="1" applyBorder="1" applyAlignment="1">
      <alignment vertical="center"/>
    </xf>
    <xf numFmtId="9" fontId="3" fillId="0" borderId="0" xfId="0" applyNumberFormat="1" applyFont="1"/>
    <xf numFmtId="180" fontId="3" fillId="0" borderId="0" xfId="0" applyNumberFormat="1" applyFont="1"/>
    <xf numFmtId="1" fontId="3" fillId="0" borderId="0" xfId="0" applyNumberFormat="1" applyFont="1"/>
    <xf numFmtId="0" fontId="3" fillId="3" borderId="0" xfId="0" applyFont="1" applyFill="1"/>
    <xf numFmtId="0" fontId="18" fillId="3" borderId="0" xfId="0" applyFont="1" applyFill="1"/>
    <xf numFmtId="183" fontId="3" fillId="0" borderId="0" xfId="0" applyNumberFormat="1" applyFont="1"/>
    <xf numFmtId="190" fontId="3" fillId="0" borderId="0" xfId="0" applyNumberFormat="1" applyFont="1"/>
    <xf numFmtId="179" fontId="3" fillId="0" borderId="0" xfId="0" applyNumberFormat="1" applyFont="1"/>
    <xf numFmtId="0" fontId="5" fillId="3" borderId="7" xfId="0" quotePrefix="1" applyFont="1" applyFill="1" applyBorder="1" applyAlignment="1">
      <alignment horizontal="left" vertical="center"/>
    </xf>
    <xf numFmtId="0" fontId="4" fillId="0" borderId="0" xfId="0" quotePrefix="1" applyFont="1" applyFill="1" applyBorder="1" applyAlignment="1">
      <alignment horizontal="left" vertical="center" indent="2"/>
    </xf>
    <xf numFmtId="180" fontId="4" fillId="0" borderId="0" xfId="0" applyNumberFormat="1" applyFont="1" applyFill="1" applyBorder="1" applyAlignment="1">
      <alignment vertical="center"/>
    </xf>
    <xf numFmtId="190" fontId="3" fillId="0" borderId="4" xfId="0" applyNumberFormat="1" applyFont="1" applyBorder="1" applyAlignment="1">
      <alignment vertical="center"/>
    </xf>
    <xf numFmtId="9" fontId="7" fillId="0" borderId="4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79" fontId="3" fillId="0" borderId="27" xfId="0" applyNumberFormat="1" applyFont="1" applyBorder="1" applyAlignment="1">
      <alignment vertical="center"/>
    </xf>
    <xf numFmtId="179" fontId="3" fillId="0" borderId="10" xfId="0" applyNumberFormat="1" applyFont="1" applyBorder="1" applyAlignment="1">
      <alignment vertical="center"/>
    </xf>
    <xf numFmtId="179" fontId="3" fillId="0" borderId="28" xfId="0" applyNumberFormat="1" applyFont="1" applyBorder="1" applyAlignment="1">
      <alignment vertical="center"/>
    </xf>
    <xf numFmtId="9" fontId="3" fillId="0" borderId="29" xfId="0" applyNumberFormat="1" applyFont="1" applyBorder="1" applyAlignment="1">
      <alignment vertical="center"/>
    </xf>
    <xf numFmtId="179" fontId="3" fillId="0" borderId="30" xfId="0" applyNumberFormat="1" applyFont="1" applyBorder="1" applyAlignment="1">
      <alignment vertical="center"/>
    </xf>
    <xf numFmtId="179" fontId="3" fillId="0" borderId="31" xfId="0" applyNumberFormat="1" applyFont="1" applyBorder="1" applyAlignment="1">
      <alignment vertical="center"/>
    </xf>
    <xf numFmtId="179" fontId="3" fillId="0" borderId="29" xfId="0" applyNumberFormat="1" applyFont="1" applyBorder="1" applyAlignment="1">
      <alignment vertical="center"/>
    </xf>
    <xf numFmtId="191" fontId="3" fillId="0" borderId="29" xfId="0" applyNumberFormat="1" applyFont="1" applyBorder="1" applyAlignment="1">
      <alignment vertical="center"/>
    </xf>
    <xf numFmtId="191" fontId="3" fillId="0" borderId="30" xfId="0" applyNumberFormat="1" applyFont="1" applyBorder="1" applyAlignment="1">
      <alignment vertical="center"/>
    </xf>
    <xf numFmtId="191" fontId="3" fillId="0" borderId="31" xfId="0" applyNumberFormat="1" applyFont="1" applyBorder="1" applyAlignment="1">
      <alignment vertical="center"/>
    </xf>
    <xf numFmtId="180" fontId="3" fillId="0" borderId="29" xfId="0" applyNumberFormat="1" applyFont="1" applyBorder="1" applyAlignment="1">
      <alignment vertical="center"/>
    </xf>
    <xf numFmtId="180" fontId="3" fillId="0" borderId="30" xfId="0" applyNumberFormat="1" applyFont="1" applyBorder="1" applyAlignment="1">
      <alignment vertical="center"/>
    </xf>
    <xf numFmtId="180" fontId="3" fillId="0" borderId="31" xfId="0" applyNumberFormat="1" applyFont="1" applyBorder="1" applyAlignment="1">
      <alignment vertical="center"/>
    </xf>
    <xf numFmtId="180" fontId="3" fillId="0" borderId="32" xfId="0" applyNumberFormat="1" applyFont="1" applyBorder="1" applyAlignment="1">
      <alignment vertical="center"/>
    </xf>
    <xf numFmtId="180" fontId="3" fillId="0" borderId="33" xfId="0" applyNumberFormat="1" applyFont="1" applyBorder="1" applyAlignment="1">
      <alignment vertical="center"/>
    </xf>
    <xf numFmtId="180" fontId="3" fillId="0" borderId="34" xfId="0" applyNumberFormat="1" applyFont="1" applyBorder="1" applyAlignment="1">
      <alignment vertical="center"/>
    </xf>
    <xf numFmtId="191" fontId="3" fillId="0" borderId="27" xfId="0" applyNumberFormat="1" applyFont="1" applyBorder="1" applyAlignment="1">
      <alignment vertical="center"/>
    </xf>
    <xf numFmtId="191" fontId="3" fillId="0" borderId="10" xfId="0" applyNumberFormat="1" applyFont="1" applyBorder="1" applyAlignment="1">
      <alignment vertical="center"/>
    </xf>
    <xf numFmtId="191" fontId="3" fillId="0" borderId="28" xfId="0" applyNumberFormat="1" applyFont="1" applyBorder="1" applyAlignment="1">
      <alignment vertical="center"/>
    </xf>
    <xf numFmtId="179" fontId="3" fillId="0" borderId="32" xfId="0" applyNumberFormat="1" applyFont="1" applyBorder="1" applyAlignment="1">
      <alignment vertical="center"/>
    </xf>
    <xf numFmtId="179" fontId="3" fillId="0" borderId="33" xfId="0" applyNumberFormat="1" applyFont="1" applyBorder="1" applyAlignment="1">
      <alignment vertical="center"/>
    </xf>
    <xf numFmtId="179" fontId="3" fillId="0" borderId="34" xfId="0" applyNumberFormat="1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190" fontId="3" fillId="0" borderId="0" xfId="0" applyNumberFormat="1" applyFont="1" applyBorder="1" applyAlignment="1">
      <alignment vertical="center"/>
    </xf>
    <xf numFmtId="0" fontId="3" fillId="3" borderId="4" xfId="0" applyFont="1" applyFill="1" applyBorder="1" applyAlignment="1">
      <alignment horizontal="right" vertical="center"/>
    </xf>
    <xf numFmtId="190" fontId="3" fillId="3" borderId="4" xfId="0" applyNumberFormat="1" applyFont="1" applyFill="1" applyBorder="1" applyAlignment="1">
      <alignment vertical="center"/>
    </xf>
    <xf numFmtId="190" fontId="3" fillId="3" borderId="0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179" fontId="3" fillId="3" borderId="4" xfId="0" applyNumberFormat="1" applyFont="1" applyFill="1" applyBorder="1" applyAlignment="1">
      <alignment vertical="center"/>
    </xf>
    <xf numFmtId="179" fontId="3" fillId="3" borderId="0" xfId="0" applyNumberFormat="1" applyFont="1" applyFill="1" applyBorder="1" applyAlignment="1">
      <alignment vertical="center"/>
    </xf>
    <xf numFmtId="179" fontId="3" fillId="3" borderId="24" xfId="0" applyNumberFormat="1" applyFont="1" applyFill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90" fontId="11" fillId="0" borderId="4" xfId="0" applyNumberFormat="1" applyFont="1" applyBorder="1" applyAlignment="1">
      <alignment vertical="center"/>
    </xf>
    <xf numFmtId="190" fontId="11" fillId="0" borderId="0" xfId="0" applyNumberFormat="1" applyFont="1" applyBorder="1" applyAlignment="1">
      <alignment vertical="center"/>
    </xf>
    <xf numFmtId="190" fontId="17" fillId="0" borderId="4" xfId="0" applyNumberFormat="1" applyFont="1" applyBorder="1" applyAlignment="1">
      <alignment vertical="center"/>
    </xf>
    <xf numFmtId="190" fontId="17" fillId="0" borderId="0" xfId="0" applyNumberFormat="1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78" fontId="3" fillId="0" borderId="0" xfId="0" applyNumberFormat="1" applyFont="1" applyAlignment="1">
      <alignment vertical="center"/>
    </xf>
    <xf numFmtId="14" fontId="3" fillId="0" borderId="4" xfId="0" applyNumberFormat="1" applyFont="1" applyBorder="1" applyAlignment="1">
      <alignment vertical="center"/>
    </xf>
    <xf numFmtId="179" fontId="5" fillId="3" borderId="8" xfId="0" applyNumberFormat="1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8" xfId="0" applyFont="1" applyBorder="1" applyAlignment="1">
      <alignment horizontal="center" vertical="center"/>
    </xf>
    <xf numFmtId="9" fontId="7" fillId="0" borderId="24" xfId="0" applyNumberFormat="1" applyFont="1" applyBorder="1" applyAlignment="1">
      <alignment vertical="center"/>
    </xf>
    <xf numFmtId="191" fontId="7" fillId="0" borderId="24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79" fontId="3" fillId="0" borderId="39" xfId="0" applyNumberFormat="1" applyFont="1" applyBorder="1" applyAlignment="1">
      <alignment vertical="center"/>
    </xf>
    <xf numFmtId="9" fontId="7" fillId="0" borderId="9" xfId="0" applyNumberFormat="1" applyFont="1" applyBorder="1" applyAlignment="1">
      <alignment vertical="center"/>
    </xf>
    <xf numFmtId="9" fontId="7" fillId="0" borderId="38" xfId="0" applyNumberFormat="1" applyFont="1" applyBorder="1" applyAlignment="1">
      <alignment vertical="center"/>
    </xf>
    <xf numFmtId="0" fontId="3" fillId="0" borderId="0" xfId="0" applyFont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3" fillId="6" borderId="0" xfId="0" applyFont="1" applyFill="1"/>
    <xf numFmtId="0" fontId="14" fillId="0" borderId="0" xfId="3" applyFont="1" applyAlignment="1">
      <alignment horizontal="left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top"/>
    </xf>
    <xf numFmtId="0" fontId="5" fillId="6" borderId="0" xfId="0" applyFont="1" applyFill="1" applyAlignment="1">
      <alignment horizontal="center" vertical="center"/>
    </xf>
    <xf numFmtId="179" fontId="19" fillId="0" borderId="25" xfId="0" applyNumberFormat="1" applyFont="1" applyFill="1" applyBorder="1" applyAlignment="1">
      <alignment horizontal="center" vertical="center"/>
    </xf>
    <xf numFmtId="179" fontId="19" fillId="0" borderId="7" xfId="0" applyNumberFormat="1" applyFont="1" applyFill="1" applyBorder="1" applyAlignment="1">
      <alignment horizontal="center" vertical="center"/>
    </xf>
    <xf numFmtId="0" fontId="3" fillId="0" borderId="0" xfId="0" quotePrefix="1" applyFont="1" applyAlignment="1">
      <alignment horizontal="left" vertical="center" wrapText="1"/>
    </xf>
  </cellXfs>
  <cellStyles count="4">
    <cellStyle name="一般" xfId="0" builtinId="0"/>
    <cellStyle name="百分比" xfId="2" builtinId="5"/>
    <cellStyle name="貨幣" xfId="1" builtinId="4"/>
    <cellStyle name="超連結" xfId="3" builtinId="8"/>
  </cellStyles>
  <dxfs count="0"/>
  <tableStyles count="0" defaultTableStyle="TableStyleMedium2" defaultPivotStyle="PivotStyleLight16"/>
  <colors>
    <mruColors>
      <color rgb="FF0000FF"/>
      <color rgb="FFFCCF61"/>
      <color rgb="FFACE3EF"/>
      <color rgb="FF536584"/>
      <color rgb="FFD8D7DF"/>
      <color rgb="FF8BD3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'Projection Visualization'!$S$7</c:f>
              <c:strCache>
                <c:ptCount val="1"/>
                <c:pt idx="0">
                  <c:v>US MAU (M)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Visualization'!$U$6:$AH$6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Visualization'!$U$7:$AH$7</c:f>
              <c:numCache>
                <c:formatCode>0</c:formatCode>
                <c:ptCount val="14"/>
                <c:pt idx="0">
                  <c:v>76</c:v>
                </c:pt>
                <c:pt idx="1">
                  <c:v>82</c:v>
                </c:pt>
                <c:pt idx="2">
                  <c:v>86</c:v>
                </c:pt>
                <c:pt idx="3">
                  <c:v>87.5</c:v>
                </c:pt>
                <c:pt idx="4">
                  <c:v>89</c:v>
                </c:pt>
                <c:pt idx="5">
                  <c:v>90.5</c:v>
                </c:pt>
                <c:pt idx="6">
                  <c:v>92</c:v>
                </c:pt>
                <c:pt idx="7">
                  <c:v>93.5</c:v>
                </c:pt>
                <c:pt idx="8">
                  <c:v>95</c:v>
                </c:pt>
                <c:pt idx="9">
                  <c:v>96.5</c:v>
                </c:pt>
                <c:pt idx="10">
                  <c:v>98</c:v>
                </c:pt>
                <c:pt idx="11">
                  <c:v>99.5</c:v>
                </c:pt>
                <c:pt idx="12">
                  <c:v>101</c:v>
                </c:pt>
                <c:pt idx="13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3A-4959-A45B-74ABB6158974}"/>
            </c:ext>
          </c:extLst>
        </c:ser>
        <c:ser>
          <c:idx val="1"/>
          <c:order val="1"/>
          <c:tx>
            <c:strRef>
              <c:f>'Projection Visualization'!$S$8</c:f>
              <c:strCache>
                <c:ptCount val="1"/>
                <c:pt idx="0">
                  <c:v>Int'l MAU (M)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Visualization'!$U$6:$AH$6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Visualization'!$U$8:$AH$8</c:f>
              <c:numCache>
                <c:formatCode>0</c:formatCode>
                <c:ptCount val="14"/>
                <c:pt idx="0">
                  <c:v>139</c:v>
                </c:pt>
                <c:pt idx="1">
                  <c:v>184</c:v>
                </c:pt>
                <c:pt idx="2">
                  <c:v>241</c:v>
                </c:pt>
                <c:pt idx="3">
                  <c:v>295</c:v>
                </c:pt>
                <c:pt idx="4">
                  <c:v>341</c:v>
                </c:pt>
                <c:pt idx="5">
                  <c:v>378</c:v>
                </c:pt>
                <c:pt idx="6">
                  <c:v>407.5</c:v>
                </c:pt>
                <c:pt idx="7">
                  <c:v>430.5</c:v>
                </c:pt>
                <c:pt idx="8">
                  <c:v>451</c:v>
                </c:pt>
                <c:pt idx="9">
                  <c:v>469.75</c:v>
                </c:pt>
                <c:pt idx="10">
                  <c:v>486.75</c:v>
                </c:pt>
                <c:pt idx="11">
                  <c:v>503.75</c:v>
                </c:pt>
                <c:pt idx="12">
                  <c:v>520.75</c:v>
                </c:pt>
                <c:pt idx="13">
                  <c:v>537.75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3A-4959-A45B-74ABB61589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936589951"/>
        <c:axId val="795481039"/>
      </c:barChart>
      <c:catAx>
        <c:axId val="936589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795481039"/>
        <c:crosses val="autoZero"/>
        <c:auto val="1"/>
        <c:lblAlgn val="ctr"/>
        <c:lblOffset val="100"/>
        <c:noMultiLvlLbl val="0"/>
      </c:catAx>
      <c:valAx>
        <c:axId val="795481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9365899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/>
              <a:t>Free</a:t>
            </a:r>
            <a:r>
              <a:rPr lang="en-US" altLang="zh-TW" baseline="0"/>
              <a:t> Cash Flow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'Projection Visualization'!$S$134</c:f>
              <c:strCache>
                <c:ptCount val="1"/>
                <c:pt idx="0">
                  <c:v>FCF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Visualization'!$T$133:$AE$133</c:f>
              <c:strCache>
                <c:ptCount val="12"/>
                <c:pt idx="0">
                  <c:v>2019E</c:v>
                </c:pt>
                <c:pt idx="1">
                  <c:v>2020E</c:v>
                </c:pt>
                <c:pt idx="2">
                  <c:v>2021E</c:v>
                </c:pt>
                <c:pt idx="3">
                  <c:v>2022E</c:v>
                </c:pt>
                <c:pt idx="4">
                  <c:v>2023E</c:v>
                </c:pt>
                <c:pt idx="5">
                  <c:v>2024E</c:v>
                </c:pt>
                <c:pt idx="6">
                  <c:v>2025E</c:v>
                </c:pt>
                <c:pt idx="7">
                  <c:v>2026E</c:v>
                </c:pt>
                <c:pt idx="8">
                  <c:v>2027E</c:v>
                </c:pt>
                <c:pt idx="9">
                  <c:v>2028E</c:v>
                </c:pt>
                <c:pt idx="10">
                  <c:v>2029E</c:v>
                </c:pt>
                <c:pt idx="11">
                  <c:v>2030E</c:v>
                </c:pt>
              </c:strCache>
            </c:strRef>
          </c:cat>
          <c:val>
            <c:numRef>
              <c:f>'Projection Visualization'!$T$134:$AE$134</c:f>
              <c:numCache>
                <c:formatCode>#,##0_);\(#,##0\)</c:formatCode>
                <c:ptCount val="12"/>
                <c:pt idx="0">
                  <c:v>-282024.13434999995</c:v>
                </c:pt>
                <c:pt idx="1">
                  <c:v>-426159.87685500004</c:v>
                </c:pt>
                <c:pt idx="2">
                  <c:v>-430575.30873499997</c:v>
                </c:pt>
                <c:pt idx="3">
                  <c:v>-328309.36445187475</c:v>
                </c:pt>
                <c:pt idx="4">
                  <c:v>-27047.193634999712</c:v>
                </c:pt>
                <c:pt idx="5">
                  <c:v>236878.35193562572</c:v>
                </c:pt>
                <c:pt idx="6">
                  <c:v>413665.63480406353</c:v>
                </c:pt>
                <c:pt idx="7">
                  <c:v>704936.52428937552</c:v>
                </c:pt>
                <c:pt idx="8">
                  <c:v>860339.57682562573</c:v>
                </c:pt>
                <c:pt idx="9">
                  <c:v>1252196.3247093761</c:v>
                </c:pt>
                <c:pt idx="10">
                  <c:v>1439130.3192106262</c:v>
                </c:pt>
                <c:pt idx="11">
                  <c:v>1777240.9145750017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04-4E02-8181-2FF92CF679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-27"/>
        <c:axId val="805100975"/>
        <c:axId val="1041569295"/>
      </c:barChart>
      <c:catAx>
        <c:axId val="805100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041569295"/>
        <c:crosses val="autoZero"/>
        <c:auto val="1"/>
        <c:lblAlgn val="ctr"/>
        <c:lblOffset val="100"/>
        <c:noMultiLvlLbl val="0"/>
      </c:catAx>
      <c:valAx>
        <c:axId val="1041569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\(#,##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805100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Visualization'!$S$7</c:f>
              <c:strCache>
                <c:ptCount val="1"/>
                <c:pt idx="0">
                  <c:v>US MAU (M)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Visualization'!$U$10:$AH$10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Visualization'!$U$7:$AH$7</c:f>
              <c:numCache>
                <c:formatCode>0</c:formatCode>
                <c:ptCount val="14"/>
                <c:pt idx="0">
                  <c:v>76</c:v>
                </c:pt>
                <c:pt idx="1">
                  <c:v>82</c:v>
                </c:pt>
                <c:pt idx="2">
                  <c:v>86</c:v>
                </c:pt>
                <c:pt idx="3">
                  <c:v>87.5</c:v>
                </c:pt>
                <c:pt idx="4">
                  <c:v>89</c:v>
                </c:pt>
                <c:pt idx="5">
                  <c:v>90.5</c:v>
                </c:pt>
                <c:pt idx="6">
                  <c:v>92</c:v>
                </c:pt>
                <c:pt idx="7">
                  <c:v>93.5</c:v>
                </c:pt>
                <c:pt idx="8">
                  <c:v>95</c:v>
                </c:pt>
                <c:pt idx="9">
                  <c:v>96.5</c:v>
                </c:pt>
                <c:pt idx="10">
                  <c:v>98</c:v>
                </c:pt>
                <c:pt idx="11">
                  <c:v>99.5</c:v>
                </c:pt>
                <c:pt idx="12">
                  <c:v>101</c:v>
                </c:pt>
                <c:pt idx="13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AF-42FF-B6CA-EE0220B39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936589951"/>
        <c:axId val="795481039"/>
      </c:barChart>
      <c:lineChart>
        <c:grouping val="standard"/>
        <c:varyColors val="0"/>
        <c:ser>
          <c:idx val="1"/>
          <c:order val="1"/>
          <c:tx>
            <c:strRef>
              <c:f>'Projection Visualization'!$S$11</c:f>
              <c:strCache>
                <c:ptCount val="1"/>
                <c:pt idx="0">
                  <c:v>US MAU YoY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2AF-42FF-B6CA-EE0220B39D7F}"/>
                </c:ext>
              </c:extLst>
            </c:dLbl>
            <c:dLbl>
              <c:idx val="1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2AF-42FF-B6CA-EE0220B39D7F}"/>
                </c:ext>
              </c:extLst>
            </c:dLbl>
            <c:dLbl>
              <c:idx val="2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TW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2AF-42FF-B6CA-EE0220B39D7F}"/>
                </c:ext>
              </c:extLst>
            </c:dLbl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TW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2AF-42FF-B6CA-EE0220B39D7F}"/>
                </c:ext>
              </c:extLst>
            </c:dLbl>
            <c:dLbl>
              <c:idx val="1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TW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2AF-42FF-B6CA-EE0220B39D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Visualization'!$U$10:$AH$10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Visualization'!$U$11:$AH$11</c:f>
              <c:numCache>
                <c:formatCode>0.0%</c:formatCode>
                <c:ptCount val="14"/>
                <c:pt idx="0">
                  <c:v>8.5714285714285632E-2</c:v>
                </c:pt>
                <c:pt idx="1">
                  <c:v>7.8947368421052655E-2</c:v>
                </c:pt>
                <c:pt idx="2">
                  <c:v>4.8780487804878092E-2</c:v>
                </c:pt>
                <c:pt idx="3">
                  <c:v>1.744186046511631E-2</c:v>
                </c:pt>
                <c:pt idx="4">
                  <c:v>1.7142857142857126E-2</c:v>
                </c:pt>
                <c:pt idx="5">
                  <c:v>1.6853932584269593E-2</c:v>
                </c:pt>
                <c:pt idx="6">
                  <c:v>1.6574585635359185E-2</c:v>
                </c:pt>
                <c:pt idx="7">
                  <c:v>1.6304347826086918E-2</c:v>
                </c:pt>
                <c:pt idx="8">
                  <c:v>1.6042780748663166E-2</c:v>
                </c:pt>
                <c:pt idx="9">
                  <c:v>1.5789473684210575E-2</c:v>
                </c:pt>
                <c:pt idx="10">
                  <c:v>1.5544041450777257E-2</c:v>
                </c:pt>
                <c:pt idx="11">
                  <c:v>1.5306122448979664E-2</c:v>
                </c:pt>
                <c:pt idx="12">
                  <c:v>1.5075376884422065E-2</c:v>
                </c:pt>
                <c:pt idx="13">
                  <c:v>1.4851485148514865E-2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AF-42FF-B6CA-EE0220B39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836272"/>
        <c:axId val="1987409712"/>
      </c:lineChart>
      <c:catAx>
        <c:axId val="936589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795481039"/>
        <c:crosses val="autoZero"/>
        <c:auto val="1"/>
        <c:lblAlgn val="ctr"/>
        <c:lblOffset val="100"/>
        <c:noMultiLvlLbl val="0"/>
      </c:catAx>
      <c:valAx>
        <c:axId val="795481039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936589951"/>
        <c:crosses val="autoZero"/>
        <c:crossBetween val="between"/>
      </c:valAx>
      <c:valAx>
        <c:axId val="19874097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94836272"/>
        <c:crosses val="max"/>
        <c:crossBetween val="between"/>
      </c:valAx>
      <c:catAx>
        <c:axId val="194836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987409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Visualization'!$S$8</c:f>
              <c:strCache>
                <c:ptCount val="1"/>
                <c:pt idx="0">
                  <c:v>Int'l MAU (M)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Visualization'!$U$10:$AH$10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Visualization'!$U$8:$AH$8</c:f>
              <c:numCache>
                <c:formatCode>0</c:formatCode>
                <c:ptCount val="14"/>
                <c:pt idx="0">
                  <c:v>139</c:v>
                </c:pt>
                <c:pt idx="1">
                  <c:v>184</c:v>
                </c:pt>
                <c:pt idx="2">
                  <c:v>241</c:v>
                </c:pt>
                <c:pt idx="3">
                  <c:v>295</c:v>
                </c:pt>
                <c:pt idx="4">
                  <c:v>341</c:v>
                </c:pt>
                <c:pt idx="5">
                  <c:v>378</c:v>
                </c:pt>
                <c:pt idx="6">
                  <c:v>407.5</c:v>
                </c:pt>
                <c:pt idx="7">
                  <c:v>430.5</c:v>
                </c:pt>
                <c:pt idx="8">
                  <c:v>451</c:v>
                </c:pt>
                <c:pt idx="9">
                  <c:v>469.75</c:v>
                </c:pt>
                <c:pt idx="10">
                  <c:v>486.75</c:v>
                </c:pt>
                <c:pt idx="11">
                  <c:v>503.75</c:v>
                </c:pt>
                <c:pt idx="12">
                  <c:v>520.75</c:v>
                </c:pt>
                <c:pt idx="13">
                  <c:v>537.75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A2-4A8E-87F4-43A4F6B2B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936589951"/>
        <c:axId val="795481039"/>
      </c:barChart>
      <c:lineChart>
        <c:grouping val="standard"/>
        <c:varyColors val="0"/>
        <c:ser>
          <c:idx val="1"/>
          <c:order val="1"/>
          <c:tx>
            <c:strRef>
              <c:f>'Projection Visualization'!$S$12</c:f>
              <c:strCache>
                <c:ptCount val="1"/>
                <c:pt idx="0">
                  <c:v>Int'l MAU YoY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TW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7A2-4A8E-87F4-43A4F6B2BABB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A2-4A8E-87F4-43A4F6B2BABB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TW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C7A2-4A8E-87F4-43A4F6B2BABB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7A2-4A8E-87F4-43A4F6B2BAB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7A2-4A8E-87F4-43A4F6B2BABB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A2-4A8E-87F4-43A4F6B2BAB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7A2-4A8E-87F4-43A4F6B2BABB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7A2-4A8E-87F4-43A4F6B2BABB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Visualization'!$U$10:$AH$10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Visualization'!$U$12:$AH$12</c:f>
              <c:numCache>
                <c:formatCode>0.0%</c:formatCode>
                <c:ptCount val="14"/>
                <c:pt idx="0">
                  <c:v>0.54444444444444451</c:v>
                </c:pt>
                <c:pt idx="1">
                  <c:v>0.32374100719424459</c:v>
                </c:pt>
                <c:pt idx="2">
                  <c:v>0.30978260869565211</c:v>
                </c:pt>
                <c:pt idx="3">
                  <c:v>0.22406639004149387</c:v>
                </c:pt>
                <c:pt idx="4">
                  <c:v>0.15593220338983049</c:v>
                </c:pt>
                <c:pt idx="5">
                  <c:v>0.10850439882697938</c:v>
                </c:pt>
                <c:pt idx="6">
                  <c:v>7.8042328042328135E-2</c:v>
                </c:pt>
                <c:pt idx="7">
                  <c:v>5.6441717791410939E-2</c:v>
                </c:pt>
                <c:pt idx="8">
                  <c:v>4.7619047619047672E-2</c:v>
                </c:pt>
                <c:pt idx="9">
                  <c:v>4.1574279379157364E-2</c:v>
                </c:pt>
                <c:pt idx="10">
                  <c:v>3.6189462480042511E-2</c:v>
                </c:pt>
                <c:pt idx="11">
                  <c:v>3.4925526450950262E-2</c:v>
                </c:pt>
                <c:pt idx="12">
                  <c:v>3.3746898263027347E-2</c:v>
                </c:pt>
                <c:pt idx="13">
                  <c:v>3.2645223235717724E-2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7A2-4A8E-87F4-43A4F6B2B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836272"/>
        <c:axId val="1987409712"/>
      </c:lineChart>
      <c:catAx>
        <c:axId val="936589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795481039"/>
        <c:crosses val="autoZero"/>
        <c:auto val="1"/>
        <c:lblAlgn val="ctr"/>
        <c:lblOffset val="100"/>
        <c:noMultiLvlLbl val="0"/>
      </c:catAx>
      <c:valAx>
        <c:axId val="795481039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936589951"/>
        <c:crosses val="autoZero"/>
        <c:crossBetween val="between"/>
      </c:valAx>
      <c:valAx>
        <c:axId val="19874097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94836272"/>
        <c:crosses val="max"/>
        <c:crossBetween val="between"/>
      </c:valAx>
      <c:catAx>
        <c:axId val="194836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987409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Visualization'!$S$40</c:f>
              <c:strCache>
                <c:ptCount val="1"/>
                <c:pt idx="0">
                  <c:v>US ARPU ($)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Visualization'!$U$39:$AH$39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Visualization'!$U$40:$AH$40</c:f>
              <c:numCache>
                <c:formatCode>#,##0.0_);\(#,##0.0\)</c:formatCode>
                <c:ptCount val="14"/>
                <c:pt idx="0">
                  <c:v>5.9761842105263154</c:v>
                </c:pt>
                <c:pt idx="1">
                  <c:v>8.795365853658538</c:v>
                </c:pt>
                <c:pt idx="2">
                  <c:v>12.661860465116279</c:v>
                </c:pt>
                <c:pt idx="3">
                  <c:v>16.717657142857146</c:v>
                </c:pt>
                <c:pt idx="4">
                  <c:v>20.972865168539325</c:v>
                </c:pt>
                <c:pt idx="5">
                  <c:v>25.328204419889502</c:v>
                </c:pt>
                <c:pt idx="6">
                  <c:v>29.684347826086956</c:v>
                </c:pt>
                <c:pt idx="7">
                  <c:v>33.643930481283427</c:v>
                </c:pt>
                <c:pt idx="8">
                  <c:v>37.206789473684211</c:v>
                </c:pt>
                <c:pt idx="9">
                  <c:v>40.174067357512953</c:v>
                </c:pt>
                <c:pt idx="10">
                  <c:v>42.545561224489795</c:v>
                </c:pt>
                <c:pt idx="11">
                  <c:v>44.321080402010047</c:v>
                </c:pt>
                <c:pt idx="12">
                  <c:v>45.500445544554459</c:v>
                </c:pt>
                <c:pt idx="13">
                  <c:v>46.083487804878054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64-4C8B-872F-C288C9AA8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-27"/>
        <c:axId val="139990896"/>
        <c:axId val="125708496"/>
      </c:barChart>
      <c:catAx>
        <c:axId val="139990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25708496"/>
        <c:crosses val="autoZero"/>
        <c:auto val="1"/>
        <c:lblAlgn val="ctr"/>
        <c:lblOffset val="100"/>
        <c:noMultiLvlLbl val="0"/>
      </c:catAx>
      <c:valAx>
        <c:axId val="125708496"/>
        <c:scaling>
          <c:orientation val="minMax"/>
        </c:scaling>
        <c:delete val="0"/>
        <c:axPos val="l"/>
        <c:numFmt formatCode="#,##0.0_);\(#,##0.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999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Visualization'!$S$41</c:f>
              <c:strCache>
                <c:ptCount val="1"/>
                <c:pt idx="0">
                  <c:v>Int'l ARPU ($)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Visualization'!$U$39:$AH$39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Visualization'!$U$41:$AH$41</c:f>
              <c:numCache>
                <c:formatCode>#,##0.0_);\(#,##0.0\)</c:formatCode>
                <c:ptCount val="14"/>
                <c:pt idx="0">
                  <c:v>0.27230215827338128</c:v>
                </c:pt>
                <c:pt idx="1">
                  <c:v>0.33994565217391304</c:v>
                </c:pt>
                <c:pt idx="2">
                  <c:v>0.60672199170124486</c:v>
                </c:pt>
                <c:pt idx="3">
                  <c:v>1.3494406779661017</c:v>
                </c:pt>
                <c:pt idx="4">
                  <c:v>2.5667448680351903</c:v>
                </c:pt>
                <c:pt idx="5">
                  <c:v>4.0160582010582013</c:v>
                </c:pt>
                <c:pt idx="6">
                  <c:v>5.6986993865030673</c:v>
                </c:pt>
                <c:pt idx="7">
                  <c:v>7.6272706155632983</c:v>
                </c:pt>
                <c:pt idx="8">
                  <c:v>9.6533536585365862</c:v>
                </c:pt>
                <c:pt idx="9">
                  <c:v>11.787386907929749</c:v>
                </c:pt>
                <c:pt idx="10">
                  <c:v>13.966512583461736</c:v>
                </c:pt>
                <c:pt idx="11">
                  <c:v>16.128069478908188</c:v>
                </c:pt>
                <c:pt idx="12">
                  <c:v>18.280652904464713</c:v>
                </c:pt>
                <c:pt idx="13">
                  <c:v>19.718977219897724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CF-47DF-BA88-908F138AE4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-27"/>
        <c:axId val="139990896"/>
        <c:axId val="125708496"/>
      </c:barChart>
      <c:catAx>
        <c:axId val="139990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25708496"/>
        <c:crosses val="autoZero"/>
        <c:auto val="1"/>
        <c:lblAlgn val="ctr"/>
        <c:lblOffset val="100"/>
        <c:noMultiLvlLbl val="0"/>
      </c:catAx>
      <c:valAx>
        <c:axId val="125708496"/>
        <c:scaling>
          <c:orientation val="minMax"/>
        </c:scaling>
        <c:delete val="0"/>
        <c:axPos val="l"/>
        <c:numFmt formatCode="#,##0.0_);\(#,##0.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999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Visualization'!$S$42</c:f>
              <c:strCache>
                <c:ptCount val="1"/>
                <c:pt idx="0">
                  <c:v>Global ARPU ($)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Visualization'!$U$39:$AH$39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Visualization'!$U$42:$AH$42</c:f>
              <c:numCache>
                <c:formatCode>#,##0.0_);\(#,##0.0\)</c:formatCode>
                <c:ptCount val="14"/>
                <c:pt idx="0">
                  <c:v>2.2885581395348837</c:v>
                </c:pt>
                <c:pt idx="1">
                  <c:v>2.9465037593984964</c:v>
                </c:pt>
                <c:pt idx="2">
                  <c:v>3.7771865443425074</c:v>
                </c:pt>
                <c:pt idx="3">
                  <c:v>4.8650457516339864</c:v>
                </c:pt>
                <c:pt idx="4">
                  <c:v>6.3763837209302325</c:v>
                </c:pt>
                <c:pt idx="5">
                  <c:v>8.1329188900747074</c:v>
                </c:pt>
                <c:pt idx="6">
                  <c:v>10.116476476476477</c:v>
                </c:pt>
                <c:pt idx="7">
                  <c:v>12.269556297709924</c:v>
                </c:pt>
                <c:pt idx="8">
                  <c:v>14.447449633699634</c:v>
                </c:pt>
                <c:pt idx="9">
                  <c:v>16.625028697571743</c:v>
                </c:pt>
                <c:pt idx="10">
                  <c:v>18.756160752458317</c:v>
                </c:pt>
                <c:pt idx="11">
                  <c:v>20.778222130128469</c:v>
                </c:pt>
                <c:pt idx="12">
                  <c:v>22.702364294330522</c:v>
                </c:pt>
                <c:pt idx="13">
                  <c:v>23.939769621241702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D5-4FA4-B68E-91575DF806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-27"/>
        <c:axId val="139990896"/>
        <c:axId val="125708496"/>
      </c:barChart>
      <c:catAx>
        <c:axId val="139990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25708496"/>
        <c:crosses val="autoZero"/>
        <c:auto val="1"/>
        <c:lblAlgn val="ctr"/>
        <c:lblOffset val="100"/>
        <c:noMultiLvlLbl val="0"/>
      </c:catAx>
      <c:valAx>
        <c:axId val="125708496"/>
        <c:scaling>
          <c:orientation val="minMax"/>
        </c:scaling>
        <c:delete val="0"/>
        <c:axPos val="l"/>
        <c:numFmt formatCode="#,##0.0_);\(#,##0.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999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/>
              <a:t>Revenue</a:t>
            </a:r>
            <a:r>
              <a:rPr lang="en-US" altLang="zh-TW" baseline="0"/>
              <a:t> (M)</a:t>
            </a:r>
            <a:endParaRPr lang="zh-TW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'Projection Visualization'!$S$46:$T$46</c:f>
              <c:strCache>
                <c:ptCount val="2"/>
                <c:pt idx="0">
                  <c:v>US Revenue ($M)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Visualization'!$U$46:$AH$46</c:f>
              <c:numCache>
                <c:formatCode>#,##0_);\(#,##0\)</c:formatCode>
                <c:ptCount val="14"/>
                <c:pt idx="0">
                  <c:v>454.19</c:v>
                </c:pt>
                <c:pt idx="1">
                  <c:v>721.22</c:v>
                </c:pt>
                <c:pt idx="2">
                  <c:v>1088.92</c:v>
                </c:pt>
                <c:pt idx="3">
                  <c:v>1462.7950000000001</c:v>
                </c:pt>
                <c:pt idx="4">
                  <c:v>1866.585</c:v>
                </c:pt>
                <c:pt idx="5">
                  <c:v>2292.2024999999999</c:v>
                </c:pt>
                <c:pt idx="6">
                  <c:v>2730.96</c:v>
                </c:pt>
                <c:pt idx="7">
                  <c:v>3145.7075</c:v>
                </c:pt>
                <c:pt idx="8">
                  <c:v>3534.645</c:v>
                </c:pt>
                <c:pt idx="9">
                  <c:v>3876.7975000000001</c:v>
                </c:pt>
                <c:pt idx="10">
                  <c:v>4169.4650000000001</c:v>
                </c:pt>
                <c:pt idx="11">
                  <c:v>4409.9475000000002</c:v>
                </c:pt>
                <c:pt idx="12">
                  <c:v>4595.5450000000001</c:v>
                </c:pt>
                <c:pt idx="13">
                  <c:v>4723.5574999999999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47-4E30-B74B-1644E8A21211}"/>
            </c:ext>
          </c:extLst>
        </c:ser>
        <c:ser>
          <c:idx val="1"/>
          <c:order val="1"/>
          <c:tx>
            <c:strRef>
              <c:f>'Projection Visualization'!$S$47:$T$47</c:f>
              <c:strCache>
                <c:ptCount val="2"/>
                <c:pt idx="0">
                  <c:v>Int'l Revenue ($M)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Visualization'!$U$47:$AH$47</c:f>
              <c:numCache>
                <c:formatCode>#,##0_);\(#,##0\)</c:formatCode>
                <c:ptCount val="14"/>
                <c:pt idx="0">
                  <c:v>37.85</c:v>
                </c:pt>
                <c:pt idx="1">
                  <c:v>62.55</c:v>
                </c:pt>
                <c:pt idx="2">
                  <c:v>146.22</c:v>
                </c:pt>
                <c:pt idx="3">
                  <c:v>398.08499999999998</c:v>
                </c:pt>
                <c:pt idx="4">
                  <c:v>875.26</c:v>
                </c:pt>
                <c:pt idx="5">
                  <c:v>1518.0700000000002</c:v>
                </c:pt>
                <c:pt idx="6">
                  <c:v>2322.2199999999998</c:v>
                </c:pt>
                <c:pt idx="7">
                  <c:v>3283.54</c:v>
                </c:pt>
                <c:pt idx="8">
                  <c:v>4353.6625000000004</c:v>
                </c:pt>
                <c:pt idx="9">
                  <c:v>5537.125</c:v>
                </c:pt>
                <c:pt idx="10">
                  <c:v>6798.2</c:v>
                </c:pt>
                <c:pt idx="11">
                  <c:v>8124.5150000000003</c:v>
                </c:pt>
                <c:pt idx="12">
                  <c:v>9519.65</c:v>
                </c:pt>
                <c:pt idx="13">
                  <c:v>10603.88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47-4E30-B74B-1644E8A212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38465808"/>
        <c:axId val="169039616"/>
      </c:barChart>
      <c:catAx>
        <c:axId val="13846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69039616"/>
        <c:crosses val="autoZero"/>
        <c:auto val="1"/>
        <c:lblAlgn val="ctr"/>
        <c:lblOffset val="100"/>
        <c:noMultiLvlLbl val="0"/>
      </c:catAx>
      <c:valAx>
        <c:axId val="16903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8465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/>
              <a:t>US Revenue</a:t>
            </a:r>
            <a:r>
              <a:rPr lang="en-US" altLang="zh-TW" baseline="0"/>
              <a:t> (M)</a:t>
            </a:r>
            <a:endParaRPr lang="zh-TW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Visualization'!$S$46:$T$46</c:f>
              <c:strCache>
                <c:ptCount val="2"/>
                <c:pt idx="0">
                  <c:v>US Revenue ($M)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Visualization'!$U$46:$AH$46</c:f>
              <c:numCache>
                <c:formatCode>#,##0_);\(#,##0\)</c:formatCode>
                <c:ptCount val="14"/>
                <c:pt idx="0">
                  <c:v>454.19</c:v>
                </c:pt>
                <c:pt idx="1">
                  <c:v>721.22</c:v>
                </c:pt>
                <c:pt idx="2">
                  <c:v>1088.92</c:v>
                </c:pt>
                <c:pt idx="3">
                  <c:v>1462.7950000000001</c:v>
                </c:pt>
                <c:pt idx="4">
                  <c:v>1866.585</c:v>
                </c:pt>
                <c:pt idx="5">
                  <c:v>2292.2024999999999</c:v>
                </c:pt>
                <c:pt idx="6">
                  <c:v>2730.96</c:v>
                </c:pt>
                <c:pt idx="7">
                  <c:v>3145.7075</c:v>
                </c:pt>
                <c:pt idx="8">
                  <c:v>3534.645</c:v>
                </c:pt>
                <c:pt idx="9">
                  <c:v>3876.7975000000001</c:v>
                </c:pt>
                <c:pt idx="10">
                  <c:v>4169.4650000000001</c:v>
                </c:pt>
                <c:pt idx="11">
                  <c:v>4409.9475000000002</c:v>
                </c:pt>
                <c:pt idx="12">
                  <c:v>4595.5450000000001</c:v>
                </c:pt>
                <c:pt idx="13">
                  <c:v>4723.5574999999999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1D-4E0B-8708-89E05C329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138465808"/>
        <c:axId val="169039616"/>
      </c:barChart>
      <c:lineChart>
        <c:grouping val="standard"/>
        <c:varyColors val="0"/>
        <c:ser>
          <c:idx val="1"/>
          <c:order val="1"/>
          <c:tx>
            <c:strRef>
              <c:f>'Projection Visualization'!$S$52</c:f>
              <c:strCache>
                <c:ptCount val="1"/>
                <c:pt idx="0">
                  <c:v>US Rev YoY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Visualization'!$U$52:$AH$52</c:f>
              <c:numCache>
                <c:formatCode>0%</c:formatCode>
                <c:ptCount val="14"/>
                <c:pt idx="1">
                  <c:v>0.58792575794271129</c:v>
                </c:pt>
                <c:pt idx="2">
                  <c:v>0.50983056487618206</c:v>
                </c:pt>
                <c:pt idx="3">
                  <c:v>0.34334478198582086</c:v>
                </c:pt>
                <c:pt idx="4">
                  <c:v>0.27604004662307435</c:v>
                </c:pt>
                <c:pt idx="5">
                  <c:v>0.22801935084659952</c:v>
                </c:pt>
                <c:pt idx="6">
                  <c:v>0.19141306232760846</c:v>
                </c:pt>
                <c:pt idx="7">
                  <c:v>0.15186875677417455</c:v>
                </c:pt>
                <c:pt idx="8">
                  <c:v>0.1236407072176926</c:v>
                </c:pt>
                <c:pt idx="9">
                  <c:v>9.6799678609874595E-2</c:v>
                </c:pt>
                <c:pt idx="10">
                  <c:v>7.5492078190826373E-2</c:v>
                </c:pt>
                <c:pt idx="11">
                  <c:v>5.7677064083761387E-2</c:v>
                </c:pt>
                <c:pt idx="12">
                  <c:v>4.2086101932052422E-2</c:v>
                </c:pt>
                <c:pt idx="13">
                  <c:v>2.7855782067197632E-2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11D-4E0B-8708-89E05C329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692320"/>
        <c:axId val="161686640"/>
      </c:lineChart>
      <c:catAx>
        <c:axId val="13846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69039616"/>
        <c:crosses val="autoZero"/>
        <c:auto val="1"/>
        <c:lblAlgn val="ctr"/>
        <c:lblOffset val="100"/>
        <c:noMultiLvlLbl val="0"/>
      </c:catAx>
      <c:valAx>
        <c:axId val="16903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8465808"/>
        <c:crosses val="autoZero"/>
        <c:crossBetween val="between"/>
      </c:valAx>
      <c:valAx>
        <c:axId val="16168664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324692320"/>
        <c:crosses val="max"/>
        <c:crossBetween val="between"/>
      </c:valAx>
      <c:catAx>
        <c:axId val="324692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6866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/>
              <a:t>Int'l Revenue</a:t>
            </a:r>
            <a:r>
              <a:rPr lang="en-US" altLang="zh-TW" baseline="0"/>
              <a:t> (M)</a:t>
            </a:r>
            <a:endParaRPr lang="zh-TW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Visualization'!$S$47:$T$47</c:f>
              <c:strCache>
                <c:ptCount val="2"/>
                <c:pt idx="0">
                  <c:v>Int'l Revenue ($M)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Visualization'!$U$47:$AH$47</c:f>
              <c:numCache>
                <c:formatCode>#,##0_);\(#,##0\)</c:formatCode>
                <c:ptCount val="14"/>
                <c:pt idx="0">
                  <c:v>37.85</c:v>
                </c:pt>
                <c:pt idx="1">
                  <c:v>62.55</c:v>
                </c:pt>
                <c:pt idx="2">
                  <c:v>146.22</c:v>
                </c:pt>
                <c:pt idx="3">
                  <c:v>398.08499999999998</c:v>
                </c:pt>
                <c:pt idx="4">
                  <c:v>875.26</c:v>
                </c:pt>
                <c:pt idx="5">
                  <c:v>1518.0700000000002</c:v>
                </c:pt>
                <c:pt idx="6">
                  <c:v>2322.2199999999998</c:v>
                </c:pt>
                <c:pt idx="7">
                  <c:v>3283.54</c:v>
                </c:pt>
                <c:pt idx="8">
                  <c:v>4353.6625000000004</c:v>
                </c:pt>
                <c:pt idx="9">
                  <c:v>5537.125</c:v>
                </c:pt>
                <c:pt idx="10">
                  <c:v>6798.2</c:v>
                </c:pt>
                <c:pt idx="11">
                  <c:v>8124.5150000000003</c:v>
                </c:pt>
                <c:pt idx="12">
                  <c:v>9519.65</c:v>
                </c:pt>
                <c:pt idx="13">
                  <c:v>10603.88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95-49DB-A878-216A471F1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138465808"/>
        <c:axId val="169039616"/>
      </c:barChart>
      <c:lineChart>
        <c:grouping val="standard"/>
        <c:varyColors val="0"/>
        <c:ser>
          <c:idx val="1"/>
          <c:order val="1"/>
          <c:tx>
            <c:strRef>
              <c:f>'Projection Visualization'!$S$53</c:f>
              <c:strCache>
                <c:ptCount val="1"/>
                <c:pt idx="0">
                  <c:v>Int'l Rev YoY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Visualization'!$U$53:$AH$53</c:f>
              <c:numCache>
                <c:formatCode>0%</c:formatCode>
                <c:ptCount val="14"/>
                <c:pt idx="1">
                  <c:v>0.65257595772787313</c:v>
                </c:pt>
                <c:pt idx="2">
                  <c:v>1.3376498800959236</c:v>
                </c:pt>
                <c:pt idx="3">
                  <c:v>1.7225071809601968</c:v>
                </c:pt>
                <c:pt idx="4">
                  <c:v>1.198676162126179</c:v>
                </c:pt>
                <c:pt idx="5">
                  <c:v>0.7344217718163748</c:v>
                </c:pt>
                <c:pt idx="6">
                  <c:v>0.52971865592495715</c:v>
                </c:pt>
                <c:pt idx="7">
                  <c:v>0.41396594637889605</c:v>
                </c:pt>
                <c:pt idx="8">
                  <c:v>0.32590512069291089</c:v>
                </c:pt>
                <c:pt idx="9">
                  <c:v>0.27183147522344675</c:v>
                </c:pt>
                <c:pt idx="10">
                  <c:v>0.22774905749825036</c:v>
                </c:pt>
                <c:pt idx="11">
                  <c:v>0.19509796710894078</c:v>
                </c:pt>
                <c:pt idx="12">
                  <c:v>0.17171917339065779</c:v>
                </c:pt>
                <c:pt idx="13">
                  <c:v>0.1138938931578366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95-49DB-A878-216A471F1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692320"/>
        <c:axId val="161686640"/>
      </c:lineChart>
      <c:catAx>
        <c:axId val="13846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69039616"/>
        <c:crosses val="autoZero"/>
        <c:auto val="1"/>
        <c:lblAlgn val="ctr"/>
        <c:lblOffset val="100"/>
        <c:noMultiLvlLbl val="0"/>
      </c:catAx>
      <c:valAx>
        <c:axId val="16903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38465808"/>
        <c:crosses val="autoZero"/>
        <c:crossBetween val="between"/>
      </c:valAx>
      <c:valAx>
        <c:axId val="16168664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324692320"/>
        <c:crosses val="max"/>
        <c:crossBetween val="between"/>
      </c:valAx>
      <c:catAx>
        <c:axId val="324692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6866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/>
              <a:t>Geo</a:t>
            </a:r>
            <a:r>
              <a:rPr lang="en-US" altLang="zh-TW" baseline="0"/>
              <a:t>graphic Breakdwon</a:t>
            </a:r>
            <a:endParaRPr lang="zh-TW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'Projection Visualization'!$S$49</c:f>
              <c:strCache>
                <c:ptCount val="1"/>
                <c:pt idx="0">
                  <c:v>US Rev 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Visualization'!$U$49:$AH$49</c:f>
              <c:numCache>
                <c:formatCode>0%</c:formatCode>
                <c:ptCount val="14"/>
                <c:pt idx="0">
                  <c:v>0.9230753597268514</c:v>
                </c:pt>
                <c:pt idx="1">
                  <c:v>0.92019342409125127</c:v>
                </c:pt>
                <c:pt idx="2">
                  <c:v>0.88161665884029339</c:v>
                </c:pt>
                <c:pt idx="3">
                  <c:v>0.78607701732513646</c:v>
                </c:pt>
                <c:pt idx="4">
                  <c:v>0.68077699505260147</c:v>
                </c:pt>
                <c:pt idx="5">
                  <c:v>0.60158492601250957</c:v>
                </c:pt>
                <c:pt idx="6">
                  <c:v>0.54044383932493989</c:v>
                </c:pt>
                <c:pt idx="7">
                  <c:v>0.48928082174469095</c:v>
                </c:pt>
                <c:pt idx="8">
                  <c:v>0.44808661427055169</c:v>
                </c:pt>
                <c:pt idx="9">
                  <c:v>0.41181531927844106</c:v>
                </c:pt>
                <c:pt idx="10">
                  <c:v>0.38015976965014886</c:v>
                </c:pt>
                <c:pt idx="11">
                  <c:v>0.35182581622466863</c:v>
                </c:pt>
                <c:pt idx="12">
                  <c:v>0.32557431902286865</c:v>
                </c:pt>
                <c:pt idx="13">
                  <c:v>0.30817659507663953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4C-4546-B87F-43ABB6D25C72}"/>
            </c:ext>
          </c:extLst>
        </c:ser>
        <c:ser>
          <c:idx val="1"/>
          <c:order val="1"/>
          <c:tx>
            <c:strRef>
              <c:f>'Projection Visualization'!$S$50</c:f>
              <c:strCache>
                <c:ptCount val="1"/>
                <c:pt idx="0">
                  <c:v>Int'l Rev %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Visualization'!$U$45:$AH$45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Visualization'!$U$50:$AH$50</c:f>
              <c:numCache>
                <c:formatCode>0%</c:formatCode>
                <c:ptCount val="14"/>
                <c:pt idx="0">
                  <c:v>7.692464027314852E-2</c:v>
                </c:pt>
                <c:pt idx="1">
                  <c:v>7.9806575908748734E-2</c:v>
                </c:pt>
                <c:pt idx="2">
                  <c:v>0.11838334115970658</c:v>
                </c:pt>
                <c:pt idx="3">
                  <c:v>0.21392298267486348</c:v>
                </c:pt>
                <c:pt idx="4">
                  <c:v>0.31922300494739858</c:v>
                </c:pt>
                <c:pt idx="5">
                  <c:v>0.39841507398749043</c:v>
                </c:pt>
                <c:pt idx="6">
                  <c:v>0.45955616067506</c:v>
                </c:pt>
                <c:pt idx="7">
                  <c:v>0.51071917825530899</c:v>
                </c:pt>
                <c:pt idx="8">
                  <c:v>0.55191338572944837</c:v>
                </c:pt>
                <c:pt idx="9">
                  <c:v>0.58818468072155894</c:v>
                </c:pt>
                <c:pt idx="10">
                  <c:v>0.61984023034985103</c:v>
                </c:pt>
                <c:pt idx="11">
                  <c:v>0.64817418377533143</c:v>
                </c:pt>
                <c:pt idx="12">
                  <c:v>0.6744256809771314</c:v>
                </c:pt>
                <c:pt idx="13">
                  <c:v>0.69182340492336047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4C-4546-B87F-43ABB6D25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630981359"/>
        <c:axId val="1265598751"/>
      </c:barChart>
      <c:catAx>
        <c:axId val="16309813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265598751"/>
        <c:crosses val="autoZero"/>
        <c:auto val="1"/>
        <c:lblAlgn val="ctr"/>
        <c:lblOffset val="100"/>
        <c:noMultiLvlLbl val="0"/>
      </c:catAx>
      <c:valAx>
        <c:axId val="1265598751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6309813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'Projection Visualization'!$S$90:$T$90</c:f>
              <c:strCache>
                <c:ptCount val="2"/>
                <c:pt idx="0">
                  <c:v>Gross Margin (%)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Visualization'!$U$89:$AH$89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Visualization'!$U$90:$AH$90</c:f>
              <c:numCache>
                <c:formatCode>0%</c:formatCode>
                <c:ptCount val="14"/>
                <c:pt idx="0">
                  <c:v>0.62215661560065305</c:v>
                </c:pt>
                <c:pt idx="1">
                  <c:v>0.68041569876655572</c:v>
                </c:pt>
                <c:pt idx="2">
                  <c:v>0.66891245797493326</c:v>
                </c:pt>
                <c:pt idx="3">
                  <c:v>0.68039821123152466</c:v>
                </c:pt>
                <c:pt idx="4">
                  <c:v>0.69009540047541695</c:v>
                </c:pt>
                <c:pt idx="5">
                  <c:v>0.69971419322804862</c:v>
                </c:pt>
                <c:pt idx="6">
                  <c:v>0.71042984813523369</c:v>
                </c:pt>
                <c:pt idx="7">
                  <c:v>0.71989778352754352</c:v>
                </c:pt>
                <c:pt idx="8">
                  <c:v>0.7295365007005622</c:v>
                </c:pt>
                <c:pt idx="9">
                  <c:v>0.72927434074372288</c:v>
                </c:pt>
                <c:pt idx="10">
                  <c:v>0.72908193083942663</c:v>
                </c:pt>
                <c:pt idx="11">
                  <c:v>0.72895045359942634</c:v>
                </c:pt>
                <c:pt idx="12">
                  <c:v>0.72885340053750591</c:v>
                </c:pt>
                <c:pt idx="13">
                  <c:v>0.72886774941995358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B1-40A4-9D31-B552FC7807DE}"/>
            </c:ext>
          </c:extLst>
        </c:ser>
        <c:ser>
          <c:idx val="3"/>
          <c:order val="1"/>
          <c:tx>
            <c:strRef>
              <c:f>'Projection Visualization'!$S$93:$T$93</c:f>
              <c:strCache>
                <c:ptCount val="2"/>
                <c:pt idx="0">
                  <c:v>Adj. EBITDA Margin (%)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Visualization'!$U$89:$AH$89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Visualization'!$U$93:$AH$93</c:f>
              <c:numCache>
                <c:formatCode>0%</c:formatCode>
                <c:ptCount val="14"/>
                <c:pt idx="0">
                  <c:v>-0.19666830213259118</c:v>
                </c:pt>
                <c:pt idx="1">
                  <c:v>-5.1595910743294372E-2</c:v>
                </c:pt>
                <c:pt idx="2">
                  <c:v>-3.896955374885594E-2</c:v>
                </c:pt>
                <c:pt idx="3">
                  <c:v>-2.346872603284467E-2</c:v>
                </c:pt>
                <c:pt idx="4">
                  <c:v>1.7155401220710874E-2</c:v>
                </c:pt>
                <c:pt idx="5">
                  <c:v>5.1846896943722583E-2</c:v>
                </c:pt>
                <c:pt idx="6">
                  <c:v>8.2105571149256582E-2</c:v>
                </c:pt>
                <c:pt idx="7">
                  <c:v>0.11278518781474832</c:v>
                </c:pt>
                <c:pt idx="8">
                  <c:v>0.1374110162224281</c:v>
                </c:pt>
                <c:pt idx="9">
                  <c:v>0.14877440772695977</c:v>
                </c:pt>
                <c:pt idx="10">
                  <c:v>0.16030735771697996</c:v>
                </c:pt>
                <c:pt idx="11">
                  <c:v>0.1719887319320634</c:v>
                </c:pt>
                <c:pt idx="12">
                  <c:v>0.18375392696841961</c:v>
                </c:pt>
                <c:pt idx="13">
                  <c:v>0.19579212662096987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BB1-40A4-9D31-B552FC7807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8037551"/>
        <c:axId val="1801204175"/>
      </c:lineChart>
      <c:catAx>
        <c:axId val="1508037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801204175"/>
        <c:crosses val="autoZero"/>
        <c:auto val="1"/>
        <c:lblAlgn val="ctr"/>
        <c:lblOffset val="100"/>
        <c:noMultiLvlLbl val="0"/>
      </c:catAx>
      <c:valAx>
        <c:axId val="1801204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508037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'Projection Visualization'!$S$91:$T$91</c:f>
              <c:strCache>
                <c:ptCount val="2"/>
                <c:pt idx="0">
                  <c:v>Operating Margin (%)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Visualization'!$U$89:$AH$89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Visualization'!$U$91:$AH$91</c:f>
              <c:numCache>
                <c:formatCode>0%</c:formatCode>
                <c:ptCount val="14"/>
                <c:pt idx="0">
                  <c:v>-0.29170649590146602</c:v>
                </c:pt>
                <c:pt idx="1">
                  <c:v>-9.8846192514670625E-2</c:v>
                </c:pt>
                <c:pt idx="2">
                  <c:v>-1.0920737108849989</c:v>
                </c:pt>
                <c:pt idx="3">
                  <c:v>-0.16829882370437643</c:v>
                </c:pt>
                <c:pt idx="4">
                  <c:v>-8.9929533222155147E-2</c:v>
                </c:pt>
                <c:pt idx="5">
                  <c:v>-3.287694671903383E-2</c:v>
                </c:pt>
                <c:pt idx="6">
                  <c:v>5.4628943391092422E-2</c:v>
                </c:pt>
                <c:pt idx="7">
                  <c:v>8.5395735542534518E-2</c:v>
                </c:pt>
                <c:pt idx="8">
                  <c:v>0.11009535692399811</c:v>
                </c:pt>
                <c:pt idx="9">
                  <c:v>0.12150247137179007</c:v>
                </c:pt>
                <c:pt idx="10">
                  <c:v>0.13307961729023463</c:v>
                </c:pt>
                <c:pt idx="11">
                  <c:v>0.14480560092724368</c:v>
                </c:pt>
                <c:pt idx="12">
                  <c:v>0.15661563895840627</c:v>
                </c:pt>
                <c:pt idx="13">
                  <c:v>0.16869943923111755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9A-429B-BD1C-1696EBECD650}"/>
            </c:ext>
          </c:extLst>
        </c:ser>
        <c:ser>
          <c:idx val="3"/>
          <c:order val="1"/>
          <c:tx>
            <c:strRef>
              <c:f>'Projection Visualization'!$S$92:$T$92</c:f>
              <c:strCache>
                <c:ptCount val="2"/>
                <c:pt idx="0">
                  <c:v>EBITDA Margin (%)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Visualization'!$U$89:$AH$89</c:f>
              <c:strCache>
                <c:ptCount val="14"/>
                <c:pt idx="0">
                  <c:v>2017</c:v>
                </c:pt>
                <c:pt idx="1">
                  <c:v>2018</c:v>
                </c:pt>
                <c:pt idx="2">
                  <c:v>2019E</c:v>
                </c:pt>
                <c:pt idx="3">
                  <c:v>2020E</c:v>
                </c:pt>
                <c:pt idx="4">
                  <c:v>2021E</c:v>
                </c:pt>
                <c:pt idx="5">
                  <c:v>2022E</c:v>
                </c:pt>
                <c:pt idx="6">
                  <c:v>2023E</c:v>
                </c:pt>
                <c:pt idx="7">
                  <c:v>2024E</c:v>
                </c:pt>
                <c:pt idx="8">
                  <c:v>2025E</c:v>
                </c:pt>
                <c:pt idx="9">
                  <c:v>2026E</c:v>
                </c:pt>
                <c:pt idx="10">
                  <c:v>2027E</c:v>
                </c:pt>
                <c:pt idx="11">
                  <c:v>2028E</c:v>
                </c:pt>
                <c:pt idx="12">
                  <c:v>2029E</c:v>
                </c:pt>
                <c:pt idx="13">
                  <c:v>2030E</c:v>
                </c:pt>
              </c:strCache>
            </c:strRef>
          </c:cat>
          <c:val>
            <c:numRef>
              <c:f>'Projection Visualization'!$U$92:$AH$92</c:f>
              <c:numCache>
                <c:formatCode>0%</c:formatCode>
                <c:ptCount val="14"/>
                <c:pt idx="0">
                  <c:v>-0.25758376828267621</c:v>
                </c:pt>
                <c:pt idx="1">
                  <c:v>-7.1252440695723951E-2</c:v>
                </c:pt>
                <c:pt idx="2">
                  <c:v>-1.0665591862842914</c:v>
                </c:pt>
                <c:pt idx="3">
                  <c:v>-0.14329882370437641</c:v>
                </c:pt>
                <c:pt idx="4">
                  <c:v>-6.4929533222155139E-2</c:v>
                </c:pt>
                <c:pt idx="5">
                  <c:v>-7.87694671903383E-3</c:v>
                </c:pt>
                <c:pt idx="6">
                  <c:v>7.9628943391092416E-2</c:v>
                </c:pt>
                <c:pt idx="7">
                  <c:v>0.1103957355425345</c:v>
                </c:pt>
                <c:pt idx="8">
                  <c:v>0.1350953569239981</c:v>
                </c:pt>
                <c:pt idx="9">
                  <c:v>0.14650247137179007</c:v>
                </c:pt>
                <c:pt idx="10">
                  <c:v>0.15807961729023462</c:v>
                </c:pt>
                <c:pt idx="11">
                  <c:v>0.16980560092724367</c:v>
                </c:pt>
                <c:pt idx="12">
                  <c:v>0.18161563895840627</c:v>
                </c:pt>
                <c:pt idx="13">
                  <c:v>0.19369943923111754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9A-429B-BD1C-1696EBECD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8037551"/>
        <c:axId val="1801204175"/>
      </c:lineChart>
      <c:catAx>
        <c:axId val="1508037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801204175"/>
        <c:crosses val="autoZero"/>
        <c:auto val="1"/>
        <c:lblAlgn val="ctr"/>
        <c:lblOffset val="100"/>
        <c:noMultiLvlLbl val="0"/>
      </c:catAx>
      <c:valAx>
        <c:axId val="1801204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508037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 baseline="0"/>
              <a:t>Cash Balacne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'Projection Visualization'!$S$136</c:f>
              <c:strCache>
                <c:ptCount val="1"/>
                <c:pt idx="0">
                  <c:v>Cash Balance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'Projection Visualization'!$T$133:$AE$133</c:f>
              <c:strCache>
                <c:ptCount val="12"/>
                <c:pt idx="0">
                  <c:v>2019E</c:v>
                </c:pt>
                <c:pt idx="1">
                  <c:v>2020E</c:v>
                </c:pt>
                <c:pt idx="2">
                  <c:v>2021E</c:v>
                </c:pt>
                <c:pt idx="3">
                  <c:v>2022E</c:v>
                </c:pt>
                <c:pt idx="4">
                  <c:v>2023E</c:v>
                </c:pt>
                <c:pt idx="5">
                  <c:v>2024E</c:v>
                </c:pt>
                <c:pt idx="6">
                  <c:v>2025E</c:v>
                </c:pt>
                <c:pt idx="7">
                  <c:v>2026E</c:v>
                </c:pt>
                <c:pt idx="8">
                  <c:v>2027E</c:v>
                </c:pt>
                <c:pt idx="9">
                  <c:v>2028E</c:v>
                </c:pt>
                <c:pt idx="10">
                  <c:v>2029E</c:v>
                </c:pt>
                <c:pt idx="11">
                  <c:v>2030E</c:v>
                </c:pt>
              </c:strCache>
            </c:strRef>
          </c:cat>
          <c:val>
            <c:numRef>
              <c:f>'Projection Visualization'!$T$136:$AE$136</c:f>
              <c:numCache>
                <c:formatCode>#,##0_);\(#,##0\)</c:formatCode>
                <c:ptCount val="12"/>
                <c:pt idx="0">
                  <c:v>1620376.8656499998</c:v>
                </c:pt>
                <c:pt idx="1">
                  <c:v>1194216.9887949997</c:v>
                </c:pt>
                <c:pt idx="2">
                  <c:v>763641.68005999981</c:v>
                </c:pt>
                <c:pt idx="3">
                  <c:v>435332.31560812506</c:v>
                </c:pt>
                <c:pt idx="4">
                  <c:v>408285.12197312532</c:v>
                </c:pt>
                <c:pt idx="5">
                  <c:v>645163.47390875104</c:v>
                </c:pt>
                <c:pt idx="6">
                  <c:v>1058829.1087128143</c:v>
                </c:pt>
                <c:pt idx="7">
                  <c:v>1763765.6330021897</c:v>
                </c:pt>
                <c:pt idx="8">
                  <c:v>2624105.2098278156</c:v>
                </c:pt>
                <c:pt idx="9">
                  <c:v>3876301.5345371915</c:v>
                </c:pt>
                <c:pt idx="10">
                  <c:v>5315431.8537478168</c:v>
                </c:pt>
                <c:pt idx="11">
                  <c:v>7092672.7683228189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77-4833-948D-B2DA0A918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-27"/>
        <c:axId val="805100975"/>
        <c:axId val="1041569295"/>
      </c:barChart>
      <c:catAx>
        <c:axId val="805100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1041569295"/>
        <c:crosses val="autoZero"/>
        <c:auto val="1"/>
        <c:lblAlgn val="ctr"/>
        <c:lblOffset val="100"/>
        <c:noMultiLvlLbl val="0"/>
      </c:catAx>
      <c:valAx>
        <c:axId val="1041569295"/>
        <c:scaling>
          <c:orientation val="minMax"/>
        </c:scaling>
        <c:delete val="0"/>
        <c:axPos val="l"/>
        <c:numFmt formatCode="#,##0_);\(#,##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805100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13607</xdr:colOff>
      <xdr:row>5</xdr:row>
      <xdr:rowOff>8842</xdr:rowOff>
    </xdr:from>
    <xdr:to>
      <xdr:col>8</xdr:col>
      <xdr:colOff>454478</xdr:colOff>
      <xdr:row>18</xdr:row>
      <xdr:rowOff>138111</xdr:rowOff>
    </xdr:to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116EEF4A-391D-4FB8-AF39-86DD10CEDC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142378</xdr:colOff>
      <xdr:row>132</xdr:row>
      <xdr:rowOff>131058</xdr:rowOff>
    </xdr:from>
    <xdr:to>
      <xdr:col>14</xdr:col>
      <xdr:colOff>549088</xdr:colOff>
      <xdr:row>149</xdr:row>
      <xdr:rowOff>33618</xdr:rowOff>
    </xdr:to>
    <xdr:graphicFrame macro="">
      <xdr:nvGraphicFramePr>
        <xdr:cNvPr id="3" name="圖表 2">
          <a:extLst>
            <a:ext uri="{FF2B5EF4-FFF2-40B4-BE49-F238E27FC236}">
              <a16:creationId xmlns:a16="http://schemas.microsoft.com/office/drawing/2014/main" id="{20FF89CF-0840-4D03-B45E-87BA0F8DDE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223158</xdr:colOff>
      <xdr:row>4</xdr:row>
      <xdr:rowOff>175158</xdr:rowOff>
    </xdr:from>
    <xdr:to>
      <xdr:col>17</xdr:col>
      <xdr:colOff>299358</xdr:colOff>
      <xdr:row>18</xdr:row>
      <xdr:rowOff>113927</xdr:rowOff>
    </xdr:to>
    <xdr:graphicFrame macro="">
      <xdr:nvGraphicFramePr>
        <xdr:cNvPr id="4" name="圖表 3">
          <a:extLst>
            <a:ext uri="{FF2B5EF4-FFF2-40B4-BE49-F238E27FC236}">
              <a16:creationId xmlns:a16="http://schemas.microsoft.com/office/drawing/2014/main" id="{C41B00A7-EE79-49DD-8D50-3F890DF992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217715</xdr:colOff>
      <xdr:row>20</xdr:row>
      <xdr:rowOff>169979</xdr:rowOff>
    </xdr:from>
    <xdr:to>
      <xdr:col>17</xdr:col>
      <xdr:colOff>293915</xdr:colOff>
      <xdr:row>34</xdr:row>
      <xdr:rowOff>108748</xdr:rowOff>
    </xdr:to>
    <xdr:graphicFrame macro="">
      <xdr:nvGraphicFramePr>
        <xdr:cNvPr id="7" name="圖表 6">
          <a:extLst>
            <a:ext uri="{FF2B5EF4-FFF2-40B4-BE49-F238E27FC236}">
              <a16:creationId xmlns:a16="http://schemas.microsoft.com/office/drawing/2014/main" id="{83A740F1-19B3-49E1-9EE3-99257D8A4A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9894</xdr:colOff>
      <xdr:row>38</xdr:row>
      <xdr:rowOff>13853</xdr:rowOff>
    </xdr:from>
    <xdr:to>
      <xdr:col>17</xdr:col>
      <xdr:colOff>69270</xdr:colOff>
      <xdr:row>52</xdr:row>
      <xdr:rowOff>124690</xdr:rowOff>
    </xdr:to>
    <xdr:graphicFrame macro="">
      <xdr:nvGraphicFramePr>
        <xdr:cNvPr id="8" name="圖表 7">
          <a:extLst>
            <a:ext uri="{FF2B5EF4-FFF2-40B4-BE49-F238E27FC236}">
              <a16:creationId xmlns:a16="http://schemas.microsoft.com/office/drawing/2014/main" id="{F79C1B2B-6620-4F9A-88C9-2BA99E5A9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9895</xdr:colOff>
      <xdr:row>54</xdr:row>
      <xdr:rowOff>39585</xdr:rowOff>
    </xdr:from>
    <xdr:to>
      <xdr:col>17</xdr:col>
      <xdr:colOff>69271</xdr:colOff>
      <xdr:row>68</xdr:row>
      <xdr:rowOff>150421</xdr:rowOff>
    </xdr:to>
    <xdr:graphicFrame macro="">
      <xdr:nvGraphicFramePr>
        <xdr:cNvPr id="9" name="圖表 8">
          <a:extLst>
            <a:ext uri="{FF2B5EF4-FFF2-40B4-BE49-F238E27FC236}">
              <a16:creationId xmlns:a16="http://schemas.microsoft.com/office/drawing/2014/main" id="{8F4E7E6B-1244-4E39-8FB7-7800DCA57E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554181</xdr:colOff>
      <xdr:row>37</xdr:row>
      <xdr:rowOff>148441</xdr:rowOff>
    </xdr:from>
    <xdr:to>
      <xdr:col>8</xdr:col>
      <xdr:colOff>405739</xdr:colOff>
      <xdr:row>52</xdr:row>
      <xdr:rowOff>71252</xdr:rowOff>
    </xdr:to>
    <xdr:graphicFrame macro="">
      <xdr:nvGraphicFramePr>
        <xdr:cNvPr id="10" name="圖表 9">
          <a:extLst>
            <a:ext uri="{FF2B5EF4-FFF2-40B4-BE49-F238E27FC236}">
              <a16:creationId xmlns:a16="http://schemas.microsoft.com/office/drawing/2014/main" id="{4C98680D-9ADB-4E17-8D27-1924EBD21B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19792</xdr:colOff>
      <xdr:row>54</xdr:row>
      <xdr:rowOff>33645</xdr:rowOff>
    </xdr:from>
    <xdr:to>
      <xdr:col>8</xdr:col>
      <xdr:colOff>435428</xdr:colOff>
      <xdr:row>68</xdr:row>
      <xdr:rowOff>144481</xdr:rowOff>
    </xdr:to>
    <xdr:graphicFrame macro="">
      <xdr:nvGraphicFramePr>
        <xdr:cNvPr id="12" name="圖表 11">
          <a:extLst>
            <a:ext uri="{FF2B5EF4-FFF2-40B4-BE49-F238E27FC236}">
              <a16:creationId xmlns:a16="http://schemas.microsoft.com/office/drawing/2014/main" id="{6D85045E-1705-4B84-A3BF-E022468516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70</xdr:row>
      <xdr:rowOff>0</xdr:rowOff>
    </xdr:from>
    <xdr:to>
      <xdr:col>8</xdr:col>
      <xdr:colOff>415636</xdr:colOff>
      <xdr:row>84</xdr:row>
      <xdr:rowOff>110837</xdr:rowOff>
    </xdr:to>
    <xdr:graphicFrame macro="">
      <xdr:nvGraphicFramePr>
        <xdr:cNvPr id="13" name="圖表 12">
          <a:extLst>
            <a:ext uri="{FF2B5EF4-FFF2-40B4-BE49-F238E27FC236}">
              <a16:creationId xmlns:a16="http://schemas.microsoft.com/office/drawing/2014/main" id="{4601A00B-41A9-4BB6-BFD3-3B6CA555AD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0</xdr:colOff>
      <xdr:row>70</xdr:row>
      <xdr:rowOff>0</xdr:rowOff>
    </xdr:from>
    <xdr:to>
      <xdr:col>17</xdr:col>
      <xdr:colOff>59376</xdr:colOff>
      <xdr:row>84</xdr:row>
      <xdr:rowOff>110837</xdr:rowOff>
    </xdr:to>
    <xdr:graphicFrame macro="">
      <xdr:nvGraphicFramePr>
        <xdr:cNvPr id="14" name="圖表 13">
          <a:extLst>
            <a:ext uri="{FF2B5EF4-FFF2-40B4-BE49-F238E27FC236}">
              <a16:creationId xmlns:a16="http://schemas.microsoft.com/office/drawing/2014/main" id="{9123DCF8-7169-4863-9C43-A88D4F81F9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1117</xdr:colOff>
      <xdr:row>54</xdr:row>
      <xdr:rowOff>29217</xdr:rowOff>
    </xdr:from>
    <xdr:to>
      <xdr:col>26</xdr:col>
      <xdr:colOff>7922</xdr:colOff>
      <xdr:row>68</xdr:row>
      <xdr:rowOff>145678</xdr:rowOff>
    </xdr:to>
    <xdr:graphicFrame macro="">
      <xdr:nvGraphicFramePr>
        <xdr:cNvPr id="11" name="圖表 10">
          <a:extLst>
            <a:ext uri="{FF2B5EF4-FFF2-40B4-BE49-F238E27FC236}">
              <a16:creationId xmlns:a16="http://schemas.microsoft.com/office/drawing/2014/main" id="{6C1DDFCC-6102-4AAD-84E5-B829D06684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65315</xdr:colOff>
      <xdr:row>88</xdr:row>
      <xdr:rowOff>95250</xdr:rowOff>
    </xdr:from>
    <xdr:to>
      <xdr:col>14</xdr:col>
      <xdr:colOff>502104</xdr:colOff>
      <xdr:row>107</xdr:row>
      <xdr:rowOff>40821</xdr:rowOff>
    </xdr:to>
    <xdr:graphicFrame macro="">
      <xdr:nvGraphicFramePr>
        <xdr:cNvPr id="15" name="圖表 14">
          <a:extLst>
            <a:ext uri="{FF2B5EF4-FFF2-40B4-BE49-F238E27FC236}">
              <a16:creationId xmlns:a16="http://schemas.microsoft.com/office/drawing/2014/main" id="{B8BC34D8-3E65-42F9-A072-20942FA36E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67236</xdr:colOff>
      <xdr:row>108</xdr:row>
      <xdr:rowOff>78441</xdr:rowOff>
    </xdr:from>
    <xdr:to>
      <xdr:col>14</xdr:col>
      <xdr:colOff>508107</xdr:colOff>
      <xdr:row>127</xdr:row>
      <xdr:rowOff>22652</xdr:rowOff>
    </xdr:to>
    <xdr:graphicFrame macro="">
      <xdr:nvGraphicFramePr>
        <xdr:cNvPr id="16" name="圖表 15">
          <a:extLst>
            <a:ext uri="{FF2B5EF4-FFF2-40B4-BE49-F238E27FC236}">
              <a16:creationId xmlns:a16="http://schemas.microsoft.com/office/drawing/2014/main" id="{57DDE3E2-1F02-497B-911F-9E8424771E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108857</xdr:colOff>
      <xdr:row>151</xdr:row>
      <xdr:rowOff>95250</xdr:rowOff>
    </xdr:from>
    <xdr:to>
      <xdr:col>14</xdr:col>
      <xdr:colOff>518288</xdr:colOff>
      <xdr:row>167</xdr:row>
      <xdr:rowOff>163817</xdr:rowOff>
    </xdr:to>
    <xdr:graphicFrame macro="">
      <xdr:nvGraphicFramePr>
        <xdr:cNvPr id="17" name="圖表 16">
          <a:extLst>
            <a:ext uri="{FF2B5EF4-FFF2-40B4-BE49-F238E27FC236}">
              <a16:creationId xmlns:a16="http://schemas.microsoft.com/office/drawing/2014/main" id="{3BC12065-F761-42D0-A259-F61DFA4A80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386619</xdr:colOff>
      <xdr:row>160</xdr:row>
      <xdr:rowOff>145393</xdr:rowOff>
    </xdr:from>
    <xdr:to>
      <xdr:col>7</xdr:col>
      <xdr:colOff>376046</xdr:colOff>
      <xdr:row>161</xdr:row>
      <xdr:rowOff>134804</xdr:rowOff>
    </xdr:to>
    <xdr:sp macro="" textlink="">
      <xdr:nvSpPr>
        <xdr:cNvPr id="18" name="右大括弧 17">
          <a:extLst>
            <a:ext uri="{FF2B5EF4-FFF2-40B4-BE49-F238E27FC236}">
              <a16:creationId xmlns:a16="http://schemas.microsoft.com/office/drawing/2014/main" id="{E0AE1341-3EA9-4C49-B562-8F1F5A64DB14}"/>
            </a:ext>
          </a:extLst>
        </xdr:cNvPr>
        <xdr:cNvSpPr/>
      </xdr:nvSpPr>
      <xdr:spPr>
        <a:xfrm rot="16200000">
          <a:off x="3264538" y="27339260"/>
          <a:ext cx="166304" cy="2302641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oneCellAnchor>
    <xdr:from>
      <xdr:col>4</xdr:col>
      <xdr:colOff>259896</xdr:colOff>
      <xdr:row>159</xdr:row>
      <xdr:rowOff>40833</xdr:rowOff>
    </xdr:from>
    <xdr:ext cx="1563698" cy="261546"/>
    <xdr:sp macro="" textlink="">
      <xdr:nvSpPr>
        <xdr:cNvPr id="19" name="文字方塊 18">
          <a:extLst>
            <a:ext uri="{FF2B5EF4-FFF2-40B4-BE49-F238E27FC236}">
              <a16:creationId xmlns:a16="http://schemas.microsoft.com/office/drawing/2014/main" id="{EFF27B90-698F-42A8-BE8E-124837DF2B6E}"/>
            </a:ext>
          </a:extLst>
        </xdr:cNvPr>
        <xdr:cNvSpPr txBox="1"/>
      </xdr:nvSpPr>
      <xdr:spPr>
        <a:xfrm>
          <a:off x="2627539" y="28125976"/>
          <a:ext cx="1563698" cy="2615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050">
              <a:latin typeface="Source Sans Pro" panose="020B0503030403020204" pitchFamily="34" charset="0"/>
            </a:rPr>
            <a:t>Potential Capital</a:t>
          </a:r>
          <a:r>
            <a:rPr lang="en-US" altLang="zh-TW" sz="1050" baseline="0">
              <a:latin typeface="Source Sans Pro" panose="020B0503030403020204" pitchFamily="34" charset="0"/>
            </a:rPr>
            <a:t> Raising</a:t>
          </a:r>
          <a:endParaRPr lang="zh-TW" altLang="en-US" sz="1050">
            <a:latin typeface="Source Sans Pro" panose="020B0503030403020204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1</xdr:row>
      <xdr:rowOff>19523</xdr:rowOff>
    </xdr:from>
    <xdr:to>
      <xdr:col>17</xdr:col>
      <xdr:colOff>421068</xdr:colOff>
      <xdr:row>13</xdr:row>
      <xdr:rowOff>96120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DF5BC6DA-1F81-4212-A13B-A8DB31DEA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4" y="200498"/>
          <a:ext cx="9393619" cy="2248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mes.yeh@yncm-rs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ames.yeh@yncm-rs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ames.yeh@yncm-rs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W248"/>
  <sheetViews>
    <sheetView showGridLines="0" zoomScale="85" zoomScaleNormal="85" workbookViewId="0">
      <pane xSplit="2" ySplit="6" topLeftCell="C87" activePane="bottomRight" state="frozen"/>
      <selection pane="topRight" activeCell="C1" sqref="C1"/>
      <selection pane="bottomLeft" activeCell="A6" sqref="A6"/>
      <selection pane="bottomRight" activeCell="B1" sqref="B1"/>
    </sheetView>
  </sheetViews>
  <sheetFormatPr defaultRowHeight="20.05" customHeight="1" outlineLevelCol="1" x14ac:dyDescent="0.4"/>
  <cols>
    <col min="1" max="1" width="8.6640625" style="1"/>
    <col min="2" max="2" width="39.75" style="1" bestFit="1" customWidth="1"/>
    <col min="3" max="18" width="12.58203125" style="1" customWidth="1"/>
    <col min="19" max="58" width="12.58203125" style="1" hidden="1" customWidth="1" outlineLevel="1"/>
    <col min="59" max="59" width="8.6640625" style="1" collapsed="1"/>
    <col min="60" max="60" width="36.4140625" style="1" bestFit="1" customWidth="1"/>
    <col min="61" max="74" width="12.58203125" style="1" customWidth="1"/>
    <col min="75" max="75" width="11.75" style="1" bestFit="1" customWidth="1"/>
    <col min="76" max="16384" width="8.6640625" style="1"/>
  </cols>
  <sheetData>
    <row r="1" spans="2:74" ht="14.6" x14ac:dyDescent="0.4">
      <c r="B1" s="319" t="s">
        <v>258</v>
      </c>
    </row>
    <row r="2" spans="2:74" ht="16.3" customHeight="1" x14ac:dyDescent="0.4"/>
    <row r="3" spans="2:74" ht="9" customHeight="1" x14ac:dyDescent="0.4">
      <c r="B3" s="132"/>
      <c r="C3" s="321" t="s">
        <v>41</v>
      </c>
      <c r="D3" s="321"/>
      <c r="E3" s="321"/>
      <c r="F3" s="321"/>
      <c r="G3" s="321"/>
      <c r="H3" s="321"/>
      <c r="I3" s="321"/>
      <c r="J3" s="321"/>
      <c r="K3" s="321"/>
      <c r="L3" s="321"/>
      <c r="M3" s="64" t="s">
        <v>212</v>
      </c>
      <c r="N3" s="187" t="s">
        <v>40</v>
      </c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</row>
    <row r="4" spans="2:74" ht="14.6" x14ac:dyDescent="0.4">
      <c r="B4" s="131" t="s">
        <v>76</v>
      </c>
      <c r="C4" s="155">
        <f>YEAR(C5)</f>
        <v>2017</v>
      </c>
      <c r="D4" s="155">
        <f t="shared" ref="D4:BF4" si="0">YEAR(D5)</f>
        <v>2017</v>
      </c>
      <c r="E4" s="155">
        <f t="shared" si="0"/>
        <v>2017</v>
      </c>
      <c r="F4" s="155">
        <f t="shared" si="0"/>
        <v>2017</v>
      </c>
      <c r="G4" s="156">
        <f t="shared" si="0"/>
        <v>2018</v>
      </c>
      <c r="H4" s="156">
        <f t="shared" si="0"/>
        <v>2018</v>
      </c>
      <c r="I4" s="156">
        <f t="shared" si="0"/>
        <v>2018</v>
      </c>
      <c r="J4" s="156">
        <f t="shared" si="0"/>
        <v>2018</v>
      </c>
      <c r="K4" s="155">
        <f t="shared" si="0"/>
        <v>2019</v>
      </c>
      <c r="L4" s="155">
        <f t="shared" si="0"/>
        <v>2019</v>
      </c>
      <c r="M4" s="188">
        <f t="shared" si="0"/>
        <v>2019</v>
      </c>
      <c r="N4" s="155">
        <f t="shared" si="0"/>
        <v>2019</v>
      </c>
      <c r="O4" s="156">
        <f t="shared" si="0"/>
        <v>2020</v>
      </c>
      <c r="P4" s="156">
        <f t="shared" si="0"/>
        <v>2020</v>
      </c>
      <c r="Q4" s="156">
        <f t="shared" si="0"/>
        <v>2020</v>
      </c>
      <c r="R4" s="156">
        <f t="shared" si="0"/>
        <v>2020</v>
      </c>
      <c r="S4" s="155">
        <f t="shared" si="0"/>
        <v>2021</v>
      </c>
      <c r="T4" s="155">
        <f t="shared" si="0"/>
        <v>2021</v>
      </c>
      <c r="U4" s="155">
        <f t="shared" si="0"/>
        <v>2021</v>
      </c>
      <c r="V4" s="155">
        <f t="shared" si="0"/>
        <v>2021</v>
      </c>
      <c r="W4" s="156">
        <f t="shared" si="0"/>
        <v>2022</v>
      </c>
      <c r="X4" s="156">
        <f t="shared" si="0"/>
        <v>2022</v>
      </c>
      <c r="Y4" s="156">
        <f t="shared" si="0"/>
        <v>2022</v>
      </c>
      <c r="Z4" s="156">
        <f t="shared" si="0"/>
        <v>2022</v>
      </c>
      <c r="AA4" s="155">
        <f t="shared" si="0"/>
        <v>2023</v>
      </c>
      <c r="AB4" s="155">
        <f t="shared" si="0"/>
        <v>2023</v>
      </c>
      <c r="AC4" s="155">
        <f t="shared" si="0"/>
        <v>2023</v>
      </c>
      <c r="AD4" s="155">
        <f t="shared" si="0"/>
        <v>2023</v>
      </c>
      <c r="AE4" s="156">
        <f t="shared" si="0"/>
        <v>2024</v>
      </c>
      <c r="AF4" s="156">
        <f t="shared" si="0"/>
        <v>2024</v>
      </c>
      <c r="AG4" s="156">
        <f t="shared" si="0"/>
        <v>2024</v>
      </c>
      <c r="AH4" s="156">
        <f t="shared" si="0"/>
        <v>2024</v>
      </c>
      <c r="AI4" s="155">
        <f t="shared" si="0"/>
        <v>2025</v>
      </c>
      <c r="AJ4" s="155">
        <f t="shared" si="0"/>
        <v>2025</v>
      </c>
      <c r="AK4" s="155">
        <f t="shared" si="0"/>
        <v>2025</v>
      </c>
      <c r="AL4" s="155">
        <f t="shared" si="0"/>
        <v>2025</v>
      </c>
      <c r="AM4" s="156">
        <f t="shared" si="0"/>
        <v>2026</v>
      </c>
      <c r="AN4" s="156">
        <f t="shared" si="0"/>
        <v>2026</v>
      </c>
      <c r="AO4" s="156">
        <f t="shared" si="0"/>
        <v>2026</v>
      </c>
      <c r="AP4" s="156">
        <f t="shared" si="0"/>
        <v>2026</v>
      </c>
      <c r="AQ4" s="155">
        <f t="shared" si="0"/>
        <v>2027</v>
      </c>
      <c r="AR4" s="155">
        <f t="shared" si="0"/>
        <v>2027</v>
      </c>
      <c r="AS4" s="155">
        <f t="shared" si="0"/>
        <v>2027</v>
      </c>
      <c r="AT4" s="155">
        <f t="shared" si="0"/>
        <v>2027</v>
      </c>
      <c r="AU4" s="156">
        <f t="shared" si="0"/>
        <v>2028</v>
      </c>
      <c r="AV4" s="156">
        <f t="shared" si="0"/>
        <v>2028</v>
      </c>
      <c r="AW4" s="156">
        <f t="shared" si="0"/>
        <v>2028</v>
      </c>
      <c r="AX4" s="156">
        <f t="shared" si="0"/>
        <v>2028</v>
      </c>
      <c r="AY4" s="155">
        <f t="shared" si="0"/>
        <v>2029</v>
      </c>
      <c r="AZ4" s="155">
        <f t="shared" si="0"/>
        <v>2029</v>
      </c>
      <c r="BA4" s="155">
        <f t="shared" si="0"/>
        <v>2029</v>
      </c>
      <c r="BB4" s="155">
        <f t="shared" si="0"/>
        <v>2029</v>
      </c>
      <c r="BC4" s="156">
        <f t="shared" si="0"/>
        <v>2030</v>
      </c>
      <c r="BD4" s="156">
        <f t="shared" si="0"/>
        <v>2030</v>
      </c>
      <c r="BE4" s="156">
        <f t="shared" si="0"/>
        <v>2030</v>
      </c>
      <c r="BF4" s="156">
        <f t="shared" si="0"/>
        <v>2030</v>
      </c>
    </row>
    <row r="5" spans="2:74" ht="20.05" customHeight="1" x14ac:dyDescent="0.4">
      <c r="B5" s="19" t="s">
        <v>8</v>
      </c>
      <c r="C5" s="20">
        <v>42825</v>
      </c>
      <c r="D5" s="20">
        <v>42916</v>
      </c>
      <c r="E5" s="20">
        <v>43008</v>
      </c>
      <c r="F5" s="20">
        <v>43100</v>
      </c>
      <c r="G5" s="20">
        <v>43190</v>
      </c>
      <c r="H5" s="20">
        <v>43281</v>
      </c>
      <c r="I5" s="20">
        <v>43373</v>
      </c>
      <c r="J5" s="20">
        <v>43465</v>
      </c>
      <c r="K5" s="20">
        <v>43555</v>
      </c>
      <c r="L5" s="20">
        <v>43646</v>
      </c>
      <c r="M5" s="47">
        <v>43738</v>
      </c>
      <c r="N5" s="20">
        <v>43830</v>
      </c>
      <c r="O5" s="20">
        <v>43921</v>
      </c>
      <c r="P5" s="20">
        <v>44012</v>
      </c>
      <c r="Q5" s="20">
        <v>44104</v>
      </c>
      <c r="R5" s="20">
        <v>44196</v>
      </c>
      <c r="S5" s="20">
        <v>44286</v>
      </c>
      <c r="T5" s="20">
        <v>44377</v>
      </c>
      <c r="U5" s="20">
        <v>44469</v>
      </c>
      <c r="V5" s="20">
        <v>44561</v>
      </c>
      <c r="W5" s="20">
        <v>44651</v>
      </c>
      <c r="X5" s="20">
        <v>44742</v>
      </c>
      <c r="Y5" s="20">
        <v>44834</v>
      </c>
      <c r="Z5" s="20">
        <v>44926</v>
      </c>
      <c r="AA5" s="20">
        <v>45016</v>
      </c>
      <c r="AB5" s="20">
        <v>45107</v>
      </c>
      <c r="AC5" s="20">
        <v>45199</v>
      </c>
      <c r="AD5" s="20">
        <v>45291</v>
      </c>
      <c r="AE5" s="20">
        <v>45382</v>
      </c>
      <c r="AF5" s="20">
        <v>45473</v>
      </c>
      <c r="AG5" s="20">
        <v>45565</v>
      </c>
      <c r="AH5" s="20">
        <v>45657</v>
      </c>
      <c r="AI5" s="20">
        <v>45747</v>
      </c>
      <c r="AJ5" s="20">
        <v>45838</v>
      </c>
      <c r="AK5" s="20">
        <v>45930</v>
      </c>
      <c r="AL5" s="20">
        <v>46022</v>
      </c>
      <c r="AM5" s="20">
        <v>46112</v>
      </c>
      <c r="AN5" s="20">
        <v>46203</v>
      </c>
      <c r="AO5" s="20">
        <v>46295</v>
      </c>
      <c r="AP5" s="20">
        <v>46387</v>
      </c>
      <c r="AQ5" s="20">
        <v>46477</v>
      </c>
      <c r="AR5" s="20">
        <v>46568</v>
      </c>
      <c r="AS5" s="20">
        <v>46660</v>
      </c>
      <c r="AT5" s="20">
        <v>46752</v>
      </c>
      <c r="AU5" s="20">
        <v>46843</v>
      </c>
      <c r="AV5" s="20">
        <v>46934</v>
      </c>
      <c r="AW5" s="20">
        <v>47026</v>
      </c>
      <c r="AX5" s="20">
        <v>47118</v>
      </c>
      <c r="AY5" s="20">
        <v>47208</v>
      </c>
      <c r="AZ5" s="20">
        <v>47299</v>
      </c>
      <c r="BA5" s="20">
        <v>47391</v>
      </c>
      <c r="BB5" s="20">
        <v>47483</v>
      </c>
      <c r="BC5" s="20">
        <v>47573</v>
      </c>
      <c r="BD5" s="20">
        <v>47664</v>
      </c>
      <c r="BE5" s="20">
        <v>47756</v>
      </c>
      <c r="BF5" s="20">
        <v>47848</v>
      </c>
      <c r="BG5" s="1" t="s">
        <v>7</v>
      </c>
      <c r="BH5" s="19" t="s">
        <v>69</v>
      </c>
      <c r="BI5" s="19">
        <v>2017</v>
      </c>
      <c r="BJ5" s="19">
        <v>2018</v>
      </c>
      <c r="BK5" s="19">
        <v>2019</v>
      </c>
      <c r="BL5" s="19">
        <v>2020</v>
      </c>
      <c r="BM5" s="19">
        <v>2021</v>
      </c>
      <c r="BN5" s="19">
        <v>2022</v>
      </c>
      <c r="BO5" s="19">
        <v>2023</v>
      </c>
      <c r="BP5" s="19">
        <v>2024</v>
      </c>
      <c r="BQ5" s="19">
        <v>2025</v>
      </c>
      <c r="BR5" s="19">
        <v>2026</v>
      </c>
      <c r="BS5" s="19">
        <v>2027</v>
      </c>
      <c r="BT5" s="19">
        <v>2028</v>
      </c>
      <c r="BU5" s="19">
        <v>2029</v>
      </c>
      <c r="BV5" s="19">
        <v>2030</v>
      </c>
    </row>
    <row r="6" spans="2:74" ht="6" customHeight="1" x14ac:dyDescent="0.4"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4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</row>
    <row r="7" spans="2:74" ht="20.05" customHeight="1" x14ac:dyDescent="0.4">
      <c r="B7" s="8" t="s">
        <v>0</v>
      </c>
      <c r="C7" s="9">
        <v>82425</v>
      </c>
      <c r="D7" s="9">
        <v>101128</v>
      </c>
      <c r="E7" s="9">
        <v>115953</v>
      </c>
      <c r="F7" s="9">
        <v>173346</v>
      </c>
      <c r="G7" s="9">
        <v>131359</v>
      </c>
      <c r="H7" s="9">
        <v>161192</v>
      </c>
      <c r="I7" s="9">
        <v>190197</v>
      </c>
      <c r="J7" s="9">
        <v>273184</v>
      </c>
      <c r="K7" s="9">
        <v>201911</v>
      </c>
      <c r="L7" s="9">
        <v>261249</v>
      </c>
      <c r="M7" s="49">
        <f>M86</f>
        <v>323190</v>
      </c>
      <c r="N7" s="9">
        <f>N86</f>
        <v>426420</v>
      </c>
      <c r="O7" s="9">
        <f>O86</f>
        <v>332920</v>
      </c>
      <c r="P7" s="9">
        <f t="shared" ref="P7:BF7" si="1">P86</f>
        <v>417765</v>
      </c>
      <c r="Q7" s="9">
        <f t="shared" si="1"/>
        <v>490470.00000000006</v>
      </c>
      <c r="R7" s="9">
        <f t="shared" si="1"/>
        <v>619725</v>
      </c>
      <c r="S7" s="9">
        <f t="shared" si="1"/>
        <v>511720</v>
      </c>
      <c r="T7" s="9">
        <f t="shared" si="1"/>
        <v>628430</v>
      </c>
      <c r="U7" s="9">
        <f t="shared" si="1"/>
        <v>722475</v>
      </c>
      <c r="V7" s="9">
        <f t="shared" si="1"/>
        <v>879220</v>
      </c>
      <c r="W7" s="9">
        <f t="shared" si="1"/>
        <v>735942.5</v>
      </c>
      <c r="X7" s="9">
        <f t="shared" si="1"/>
        <v>886387.5</v>
      </c>
      <c r="Y7" s="9">
        <f t="shared" si="1"/>
        <v>1001700</v>
      </c>
      <c r="Z7" s="9">
        <f t="shared" si="1"/>
        <v>1186242.5</v>
      </c>
      <c r="AA7" s="9">
        <f t="shared" si="1"/>
        <v>1002540</v>
      </c>
      <c r="AB7" s="9">
        <f t="shared" si="1"/>
        <v>1188080</v>
      </c>
      <c r="AC7" s="9">
        <f t="shared" si="1"/>
        <v>1324885</v>
      </c>
      <c r="AD7" s="9">
        <f t="shared" si="1"/>
        <v>1537675</v>
      </c>
      <c r="AE7" s="9">
        <f t="shared" si="1"/>
        <v>1302252.5</v>
      </c>
      <c r="AF7" s="9">
        <f t="shared" si="1"/>
        <v>1523397.5</v>
      </c>
      <c r="AG7" s="9">
        <f t="shared" si="1"/>
        <v>1681395</v>
      </c>
      <c r="AH7" s="9">
        <f t="shared" si="1"/>
        <v>1922202.5</v>
      </c>
      <c r="AI7" s="9">
        <f t="shared" si="1"/>
        <v>1620142.5</v>
      </c>
      <c r="AJ7" s="9">
        <f t="shared" si="1"/>
        <v>1878810</v>
      </c>
      <c r="AK7" s="9">
        <f t="shared" si="1"/>
        <v>2059424.9999999998</v>
      </c>
      <c r="AL7" s="9">
        <f t="shared" si="1"/>
        <v>2329930</v>
      </c>
      <c r="AM7" s="9">
        <f t="shared" si="1"/>
        <v>1952860.0000000002</v>
      </c>
      <c r="AN7" s="9">
        <f t="shared" si="1"/>
        <v>2250581.2499999995</v>
      </c>
      <c r="AO7" s="9">
        <f t="shared" si="1"/>
        <v>2454617.5</v>
      </c>
      <c r="AP7" s="9">
        <f t="shared" si="1"/>
        <v>2755863.75</v>
      </c>
      <c r="AQ7" s="9">
        <f t="shared" si="1"/>
        <v>2291543.75</v>
      </c>
      <c r="AR7" s="9">
        <f t="shared" si="1"/>
        <v>2629376.25</v>
      </c>
      <c r="AS7" s="9">
        <f t="shared" si="1"/>
        <v>2857136.25</v>
      </c>
      <c r="AT7" s="9">
        <f t="shared" si="1"/>
        <v>3189608.75</v>
      </c>
      <c r="AU7" s="9">
        <f t="shared" si="1"/>
        <v>2631038.75</v>
      </c>
      <c r="AV7" s="9">
        <f t="shared" si="1"/>
        <v>3011018.75</v>
      </c>
      <c r="AW7" s="9">
        <f t="shared" si="1"/>
        <v>3263621.2500000005</v>
      </c>
      <c r="AX7" s="9">
        <f t="shared" si="1"/>
        <v>3628783.75</v>
      </c>
      <c r="AY7" s="9">
        <f t="shared" si="1"/>
        <v>2972368.75</v>
      </c>
      <c r="AZ7" s="9">
        <f t="shared" si="1"/>
        <v>3396086.2500000005</v>
      </c>
      <c r="BA7" s="9">
        <f t="shared" si="1"/>
        <v>3674026.25</v>
      </c>
      <c r="BB7" s="9">
        <f t="shared" si="1"/>
        <v>4072713.75</v>
      </c>
      <c r="BC7" s="9">
        <f t="shared" si="1"/>
        <v>3220771.25</v>
      </c>
      <c r="BD7" s="9">
        <f t="shared" si="1"/>
        <v>3689516.25</v>
      </c>
      <c r="BE7" s="9">
        <f t="shared" si="1"/>
        <v>3992463.75</v>
      </c>
      <c r="BF7" s="9">
        <f t="shared" si="1"/>
        <v>4424686.25</v>
      </c>
      <c r="BG7" s="1" t="s">
        <v>7</v>
      </c>
      <c r="BH7" s="8" t="s">
        <v>0</v>
      </c>
      <c r="BI7" s="178">
        <f>SUMIF($C$4:$BF$4,BI$5,$C$7:$BF$7)</f>
        <v>472852</v>
      </c>
      <c r="BJ7" s="178">
        <f t="shared" ref="BJ7:BV7" si="2">SUMIF($C$4:$BF$4,BJ$5,$C$7:$BF$7)</f>
        <v>755932</v>
      </c>
      <c r="BK7" s="178">
        <f t="shared" si="2"/>
        <v>1212770</v>
      </c>
      <c r="BL7" s="178">
        <f t="shared" si="2"/>
        <v>1860880</v>
      </c>
      <c r="BM7" s="178">
        <f t="shared" si="2"/>
        <v>2741845</v>
      </c>
      <c r="BN7" s="178">
        <f t="shared" si="2"/>
        <v>3810272.5</v>
      </c>
      <c r="BO7" s="178">
        <f t="shared" si="2"/>
        <v>5053180</v>
      </c>
      <c r="BP7" s="178">
        <f t="shared" si="2"/>
        <v>6429247.5</v>
      </c>
      <c r="BQ7" s="178">
        <f t="shared" si="2"/>
        <v>7888307.5</v>
      </c>
      <c r="BR7" s="178">
        <f t="shared" si="2"/>
        <v>9413922.5</v>
      </c>
      <c r="BS7" s="178">
        <f t="shared" si="2"/>
        <v>10967665</v>
      </c>
      <c r="BT7" s="178">
        <f t="shared" si="2"/>
        <v>12534462.5</v>
      </c>
      <c r="BU7" s="178">
        <f t="shared" si="2"/>
        <v>14115195</v>
      </c>
      <c r="BV7" s="178">
        <f t="shared" si="2"/>
        <v>15327437.5</v>
      </c>
    </row>
    <row r="8" spans="2:74" ht="20.05" customHeight="1" x14ac:dyDescent="0.4">
      <c r="B8" s="7" t="s">
        <v>3</v>
      </c>
      <c r="C8" s="2"/>
      <c r="D8" s="4">
        <f>D7/C7-1</f>
        <v>0.22690931149529869</v>
      </c>
      <c r="E8" s="4">
        <f t="shared" ref="E8:L8" si="3">E7/D7-1</f>
        <v>0.14659639269045166</v>
      </c>
      <c r="F8" s="4">
        <f t="shared" si="3"/>
        <v>0.49496778867299684</v>
      </c>
      <c r="G8" s="4">
        <f t="shared" si="3"/>
        <v>-0.24221499198135521</v>
      </c>
      <c r="H8" s="4">
        <f t="shared" si="3"/>
        <v>0.22711043780783968</v>
      </c>
      <c r="I8" s="4">
        <f t="shared" si="3"/>
        <v>0.17994069184574912</v>
      </c>
      <c r="J8" s="4">
        <f t="shared" si="3"/>
        <v>0.43632128792778024</v>
      </c>
      <c r="K8" s="4">
        <f t="shared" si="3"/>
        <v>-0.26089741712545389</v>
      </c>
      <c r="L8" s="4">
        <f t="shared" si="3"/>
        <v>0.29388195789233862</v>
      </c>
      <c r="M8" s="50">
        <f t="shared" ref="M8" si="4">M7/L7-1</f>
        <v>0.23709564438524167</v>
      </c>
      <c r="N8" s="4">
        <f t="shared" ref="N8" si="5">N7/M7-1</f>
        <v>0.31940963519910892</v>
      </c>
      <c r="O8" s="4">
        <f t="shared" ref="O8" si="6">O7/N7-1</f>
        <v>-0.21926738895924203</v>
      </c>
      <c r="P8" s="4">
        <f t="shared" ref="P8" si="7">P7/O7-1</f>
        <v>0.25485101525892095</v>
      </c>
      <c r="Q8" s="4">
        <f t="shared" ref="Q8" si="8">Q7/P7-1</f>
        <v>0.17403324835733014</v>
      </c>
      <c r="R8" s="4">
        <f t="shared" ref="R8" si="9">R7/Q7-1</f>
        <v>0.26353293779436027</v>
      </c>
      <c r="S8" s="4">
        <f t="shared" ref="S8" si="10">S7/R7-1</f>
        <v>-0.17427891403445073</v>
      </c>
      <c r="T8" s="4">
        <f t="shared" ref="T8" si="11">T7/S7-1</f>
        <v>0.2280739466895958</v>
      </c>
      <c r="U8" s="4">
        <f t="shared" ref="U8" si="12">U7/T7-1</f>
        <v>0.14965071686584031</v>
      </c>
      <c r="V8" s="4">
        <f t="shared" ref="V8" si="13">V7/U7-1</f>
        <v>0.21695560400013836</v>
      </c>
      <c r="W8" s="4">
        <f t="shared" ref="W8" si="14">W7/V7-1</f>
        <v>-0.16295978253451926</v>
      </c>
      <c r="X8" s="4">
        <f t="shared" ref="X8" si="15">X7/W7-1</f>
        <v>0.20442493808959261</v>
      </c>
      <c r="Y8" s="4">
        <f t="shared" ref="Y8" si="16">Y7/X7-1</f>
        <v>0.13009265135169445</v>
      </c>
      <c r="Z8" s="4">
        <f t="shared" ref="Z8" si="17">Z7/Y7-1</f>
        <v>0.18422931017270638</v>
      </c>
      <c r="AA8" s="4">
        <f t="shared" ref="AA8" si="18">AA7/Z7-1</f>
        <v>-0.15486083157533137</v>
      </c>
      <c r="AB8" s="4">
        <f t="shared" ref="AB8" si="19">AB7/AA7-1</f>
        <v>0.18506992239711129</v>
      </c>
      <c r="AC8" s="4">
        <f t="shared" ref="AC8" si="20">AC7/AB7-1</f>
        <v>0.11514796983368125</v>
      </c>
      <c r="AD8" s="4">
        <f t="shared" ref="AD8" si="21">AD7/AC7-1</f>
        <v>0.16061016616536539</v>
      </c>
      <c r="AE8" s="4">
        <f t="shared" ref="AE8" si="22">AE7/AD7-1</f>
        <v>-0.15310289885704065</v>
      </c>
      <c r="AF8" s="4">
        <f t="shared" ref="AF8" si="23">AF7/AE7-1</f>
        <v>0.16981729733673001</v>
      </c>
      <c r="AG8" s="4">
        <f t="shared" ref="AG8" si="24">AG7/AF7-1</f>
        <v>0.10371390264195646</v>
      </c>
      <c r="AH8" s="4">
        <f t="shared" ref="AH8" si="25">AH7/AG7-1</f>
        <v>0.14321887480336271</v>
      </c>
      <c r="AI8" s="4">
        <f t="shared" ref="AI8" si="26">AI7/AH7-1</f>
        <v>-0.15714265276421191</v>
      </c>
      <c r="AJ8" s="4">
        <f t="shared" ref="AJ8" si="27">AJ7/AI7-1</f>
        <v>0.15965725237131911</v>
      </c>
      <c r="AK8" s="4">
        <f t="shared" ref="AK8" si="28">AK7/AJ7-1</f>
        <v>9.6132658438053742E-2</v>
      </c>
      <c r="AL8" s="4">
        <f t="shared" ref="AL8" si="29">AL7/AK7-1</f>
        <v>0.13134976996006187</v>
      </c>
      <c r="AM8" s="4">
        <f t="shared" ref="AM8" si="30">AM7/AL7-1</f>
        <v>-0.16183748009596843</v>
      </c>
      <c r="AN8" s="4">
        <f t="shared" ref="AN8" si="31">AN7/AM7-1</f>
        <v>0.15245396495396468</v>
      </c>
      <c r="AO8" s="4">
        <f t="shared" ref="AO8" si="32">AO7/AN7-1</f>
        <v>9.0659357443771738E-2</v>
      </c>
      <c r="AP8" s="4">
        <f t="shared" ref="AP8" si="33">AP7/AO7-1</f>
        <v>0.12272635145801747</v>
      </c>
      <c r="AQ8" s="4">
        <f t="shared" ref="AQ8" si="34">AQ7/AP7-1</f>
        <v>-0.16848438171154145</v>
      </c>
      <c r="AR8" s="4">
        <f t="shared" ref="AR8" si="35">AR7/AQ7-1</f>
        <v>0.14742572556164379</v>
      </c>
      <c r="AS8" s="4">
        <f t="shared" ref="AS8" si="36">AS7/AR7-1</f>
        <v>8.6621304197145532E-2</v>
      </c>
      <c r="AT8" s="4">
        <f t="shared" ref="AT8" si="37">AT7/AS7-1</f>
        <v>0.11636564409555206</v>
      </c>
      <c r="AU8" s="4">
        <f t="shared" ref="AU8" si="38">AU7/AT7-1</f>
        <v>-0.17512179197526967</v>
      </c>
      <c r="AV8" s="4">
        <f t="shared" ref="AV8" si="39">AV7/AU7-1</f>
        <v>0.144422046235541</v>
      </c>
      <c r="AW8" s="4">
        <f t="shared" ref="AW8" si="40">AW7/AV7-1</f>
        <v>8.3892702428372656E-2</v>
      </c>
      <c r="AX8" s="4">
        <f t="shared" ref="AX8" si="41">AX7/AW7-1</f>
        <v>0.11188874934553139</v>
      </c>
      <c r="AY8" s="4">
        <f t="shared" ref="AY8" si="42">AY7/AX7-1</f>
        <v>-0.18089118702650719</v>
      </c>
      <c r="AZ8" s="4">
        <f t="shared" ref="AZ8" si="43">AZ7/AY7-1</f>
        <v>0.14255213119166332</v>
      </c>
      <c r="BA8" s="4">
        <f t="shared" ref="BA8" si="44">BA7/AZ7-1</f>
        <v>8.1841266546160085E-2</v>
      </c>
      <c r="BB8" s="4">
        <f t="shared" ref="BB8" si="45">BB7/BA7-1</f>
        <v>0.10851514738088763</v>
      </c>
      <c r="BC8" s="4">
        <f t="shared" ref="BC8" si="46">BC7/BB7-1</f>
        <v>-0.20918300482080288</v>
      </c>
      <c r="BD8" s="4">
        <f t="shared" ref="BD8" si="47">BD7/BC7-1</f>
        <v>0.14553812227428442</v>
      </c>
      <c r="BE8" s="4">
        <f t="shared" ref="BE8" si="48">BE7/BD7-1</f>
        <v>8.2110357963594893E-2</v>
      </c>
      <c r="BF8" s="4">
        <f t="shared" ref="BF8" si="49">BF7/BE7-1</f>
        <v>0.10825959283913344</v>
      </c>
      <c r="BG8" s="1" t="s">
        <v>7</v>
      </c>
      <c r="BH8" s="7" t="s">
        <v>3</v>
      </c>
    </row>
    <row r="9" spans="2:74" ht="20.05" customHeight="1" x14ac:dyDescent="0.4">
      <c r="B9" s="7" t="s">
        <v>4</v>
      </c>
      <c r="C9" s="2"/>
      <c r="D9" s="4"/>
      <c r="E9" s="4"/>
      <c r="F9" s="4"/>
      <c r="G9" s="4">
        <f>G7/C7-1</f>
        <v>0.59367910221413411</v>
      </c>
      <c r="H9" s="4">
        <f t="shared" ref="H9:L9" si="50">H7/D7-1</f>
        <v>0.59394035282018831</v>
      </c>
      <c r="I9" s="4">
        <f t="shared" si="50"/>
        <v>0.64029391218855913</v>
      </c>
      <c r="J9" s="4">
        <f t="shared" si="50"/>
        <v>0.57594637314965436</v>
      </c>
      <c r="K9" s="4">
        <f t="shared" si="50"/>
        <v>0.5370930046666007</v>
      </c>
      <c r="L9" s="4">
        <f t="shared" si="50"/>
        <v>0.62073179810412427</v>
      </c>
      <c r="M9" s="50">
        <f t="shared" ref="M9" si="51">M7/I7-1</f>
        <v>0.69923815833057312</v>
      </c>
      <c r="N9" s="4">
        <f t="shared" ref="N9" si="52">N7/J7-1</f>
        <v>0.56092596931006211</v>
      </c>
      <c r="O9" s="4">
        <f t="shared" ref="O9" si="53">O7/K7-1</f>
        <v>0.64884528331789748</v>
      </c>
      <c r="P9" s="4">
        <f t="shared" ref="P9" si="54">P7/L7-1</f>
        <v>0.59910659945109845</v>
      </c>
      <c r="Q9" s="4">
        <f t="shared" ref="Q9" si="55">Q7/M7-1</f>
        <v>0.51759027197623708</v>
      </c>
      <c r="R9" s="4">
        <f t="shared" ref="R9" si="56">R7/N7-1</f>
        <v>0.45332066976220631</v>
      </c>
      <c r="S9" s="4">
        <f t="shared" ref="S9" si="57">S7/O7-1</f>
        <v>0.53706596179262278</v>
      </c>
      <c r="T9" s="4">
        <f t="shared" ref="T9" si="58">T7/P7-1</f>
        <v>0.50426675283951505</v>
      </c>
      <c r="U9" s="4">
        <f t="shared" ref="U9" si="59">U7/Q7-1</f>
        <v>0.47302587314208799</v>
      </c>
      <c r="V9" s="4">
        <f t="shared" ref="V9" si="60">V7/R7-1</f>
        <v>0.41872604784380174</v>
      </c>
      <c r="W9" s="4">
        <f t="shared" ref="W9" si="61">W7/S7-1</f>
        <v>0.43817419682638947</v>
      </c>
      <c r="X9" s="4">
        <f t="shared" ref="X9" si="62">X7/T7-1</f>
        <v>0.4104792896583549</v>
      </c>
      <c r="Y9" s="4">
        <f t="shared" ref="Y9" si="63">Y7/U7-1</f>
        <v>0.38648396138274688</v>
      </c>
      <c r="Z9" s="4">
        <f t="shared" ref="Z9" si="64">Z7/V7-1</f>
        <v>0.34919872159414034</v>
      </c>
      <c r="AA9" s="4">
        <f t="shared" ref="AA9" si="65">AA7/W7-1</f>
        <v>0.36225316515896289</v>
      </c>
      <c r="AB9" s="4">
        <f t="shared" ref="AB9" si="66">AB7/X7-1</f>
        <v>0.34036186205243202</v>
      </c>
      <c r="AC9" s="4">
        <f t="shared" ref="AC9" si="67">AC7/Y7-1</f>
        <v>0.32263651791953674</v>
      </c>
      <c r="AD9" s="4">
        <f t="shared" ref="AD9" si="68">AD7/Z7-1</f>
        <v>0.29625687833642789</v>
      </c>
      <c r="AE9" s="4">
        <f t="shared" ref="AE9" si="69">AE7/AA7-1</f>
        <v>0.29895315897620045</v>
      </c>
      <c r="AF9" s="4">
        <f t="shared" ref="AF9" si="70">AF7/AB7-1</f>
        <v>0.28223478216955078</v>
      </c>
      <c r="AG9" s="4">
        <f t="shared" ref="AG9" si="71">AG7/AC7-1</f>
        <v>0.26908750570804263</v>
      </c>
      <c r="AH9" s="4">
        <f t="shared" ref="AH9" si="72">AH7/AD7-1</f>
        <v>0.25007072365746996</v>
      </c>
      <c r="AI9" s="4">
        <f t="shared" ref="AI9" si="73">AI7/AE7-1</f>
        <v>0.24410780551390765</v>
      </c>
      <c r="AJ9" s="4">
        <f t="shared" ref="AJ9" si="74">AJ7/AF7-1</f>
        <v>0.23330253594350792</v>
      </c>
      <c r="AK9" s="4">
        <f t="shared" ref="AK9" si="75">AK7/AG7-1</f>
        <v>0.22483116697742034</v>
      </c>
      <c r="AL9" s="4">
        <f t="shared" ref="AL9" si="76">AL7/AH7-1</f>
        <v>0.21211474857617763</v>
      </c>
      <c r="AM9" s="4">
        <f t="shared" ref="AM9" si="77">AM7/AI7-1</f>
        <v>0.20536310849200001</v>
      </c>
      <c r="AN9" s="4">
        <f t="shared" ref="AN9" si="78">AN7/AJ7-1</f>
        <v>0.19787591613840649</v>
      </c>
      <c r="AO9" s="4">
        <f t="shared" ref="AO9" si="79">AO7/AK7-1</f>
        <v>0.19189458222562128</v>
      </c>
      <c r="AP9" s="4">
        <f t="shared" ref="AP9" si="80">AP7/AL7-1</f>
        <v>0.18280967668556558</v>
      </c>
      <c r="AQ9" s="4">
        <f t="shared" ref="AQ9" si="81">AQ7/AM7-1</f>
        <v>0.17342961092961073</v>
      </c>
      <c r="AR9" s="4">
        <f t="shared" ref="AR9" si="82">AR7/AN7-1</f>
        <v>0.16830985328790082</v>
      </c>
      <c r="AS9" s="4">
        <f t="shared" ref="AS9" si="83">AS7/AO7-1</f>
        <v>0.16398430712728151</v>
      </c>
      <c r="AT9" s="4">
        <f t="shared" ref="AT9" si="84">AT7/AP7-1</f>
        <v>0.15738985644700332</v>
      </c>
      <c r="AU9" s="4">
        <f t="shared" ref="AU9" si="85">AU7/AQ7-1</f>
        <v>0.14815121901992923</v>
      </c>
      <c r="AV9" s="4">
        <f t="shared" ref="AV9" si="86">AV7/AR7-1</f>
        <v>0.14514564052976442</v>
      </c>
      <c r="AW9" s="4">
        <f t="shared" ref="AW9" si="87">AW7/AS7-1</f>
        <v>0.1422700789995579</v>
      </c>
      <c r="AX9" s="4">
        <f t="shared" ref="AX9" si="88">AX7/AT7-1</f>
        <v>0.13768930123483014</v>
      </c>
      <c r="AY9" s="4">
        <f t="shared" ref="AY9" si="89">AY7/AU7-1</f>
        <v>0.12973203074261064</v>
      </c>
      <c r="AZ9" s="4">
        <f t="shared" ref="AZ9" si="90">AZ7/AV7-1</f>
        <v>0.12788611827807461</v>
      </c>
      <c r="BA9" s="4">
        <f t="shared" ref="BA9" si="91">BA7/AW7-1</f>
        <v>0.12575141799925449</v>
      </c>
      <c r="BB9" s="4">
        <f t="shared" ref="BB9" si="92">BB7/AX7-1</f>
        <v>0.12233575505842698</v>
      </c>
      <c r="BC9" s="4">
        <f t="shared" ref="BC9" si="93">BC7/AY7-1</f>
        <v>8.3570552947039189E-2</v>
      </c>
      <c r="BD9" s="4">
        <f t="shared" ref="BD9" si="94">BD7/AZ7-1</f>
        <v>8.640239923235149E-2</v>
      </c>
      <c r="BE9" s="4">
        <f t="shared" ref="BE9" si="95">BE7/BA7-1</f>
        <v>8.667262516156482E-2</v>
      </c>
      <c r="BF9" s="4">
        <f t="shared" ref="BF9" si="96">BF7/BB7-1</f>
        <v>8.6422106144827815E-2</v>
      </c>
      <c r="BG9" s="1" t="s">
        <v>7</v>
      </c>
      <c r="BH9" s="7" t="s">
        <v>4</v>
      </c>
      <c r="BJ9" s="5">
        <f t="shared" ref="BJ9:BV9" si="97">BJ7/BI7-1</f>
        <v>0.59866512143334494</v>
      </c>
      <c r="BK9" s="5">
        <f t="shared" si="97"/>
        <v>0.60433742717598937</v>
      </c>
      <c r="BL9" s="5">
        <f t="shared" si="97"/>
        <v>0.53440470987903721</v>
      </c>
      <c r="BM9" s="5">
        <f t="shared" si="97"/>
        <v>0.47341311637504835</v>
      </c>
      <c r="BN9" s="5">
        <f t="shared" si="97"/>
        <v>0.38967465338120855</v>
      </c>
      <c r="BO9" s="5">
        <f t="shared" si="97"/>
        <v>0.32619911043107819</v>
      </c>
      <c r="BP9" s="5">
        <f t="shared" si="97"/>
        <v>0.27231713495264365</v>
      </c>
      <c r="BQ9" s="5">
        <f t="shared" si="97"/>
        <v>0.22694102225804813</v>
      </c>
      <c r="BR9" s="5">
        <f t="shared" si="97"/>
        <v>0.19340207008917942</v>
      </c>
      <c r="BS9" s="5">
        <f t="shared" si="97"/>
        <v>0.16504730095239251</v>
      </c>
      <c r="BT9" s="5">
        <f t="shared" si="97"/>
        <v>0.14285606826977304</v>
      </c>
      <c r="BU9" s="5">
        <f t="shared" si="97"/>
        <v>0.12611091221502324</v>
      </c>
      <c r="BV9" s="5">
        <f t="shared" si="97"/>
        <v>8.5882093729487963E-2</v>
      </c>
    </row>
    <row r="10" spans="2:74" ht="20.05" customHeight="1" x14ac:dyDescent="0.4">
      <c r="B10" s="6" t="s">
        <v>15</v>
      </c>
      <c r="C10" s="10">
        <v>51542</v>
      </c>
      <c r="D10" s="10">
        <v>35991</v>
      </c>
      <c r="E10" s="10">
        <v>42457</v>
      </c>
      <c r="F10" s="10">
        <v>48674</v>
      </c>
      <c r="G10" s="10">
        <v>51653</v>
      </c>
      <c r="H10" s="10">
        <v>57974</v>
      </c>
      <c r="I10" s="10">
        <v>63649</v>
      </c>
      <c r="J10" s="10">
        <v>68308</v>
      </c>
      <c r="K10" s="10">
        <v>73694</v>
      </c>
      <c r="L10" s="10">
        <v>105415</v>
      </c>
      <c r="M10" s="51">
        <f>M7-M11</f>
        <v>114467.76917087007</v>
      </c>
      <c r="N10" s="11">
        <f>N7-N11</f>
        <v>107956.26917087007</v>
      </c>
      <c r="O10" s="11">
        <f>O7-O11</f>
        <v>117873.26917087007</v>
      </c>
      <c r="P10" s="11">
        <f t="shared" ref="P10:BF10" si="98">P7-P11</f>
        <v>147569.01917087007</v>
      </c>
      <c r="Q10" s="11">
        <f t="shared" si="98"/>
        <v>173015.76917087007</v>
      </c>
      <c r="R10" s="11">
        <f t="shared" si="98"/>
        <v>156282.51917087007</v>
      </c>
      <c r="S10" s="11">
        <f t="shared" si="98"/>
        <v>175336.06917087006</v>
      </c>
      <c r="T10" s="11">
        <f t="shared" si="98"/>
        <v>215017.46917087003</v>
      </c>
      <c r="U10" s="11">
        <f t="shared" si="98"/>
        <v>246992.76917087007</v>
      </c>
      <c r="V10" s="11">
        <f t="shared" si="98"/>
        <v>212364.06917087012</v>
      </c>
      <c r="W10" s="11">
        <f t="shared" si="98"/>
        <v>244212.29417087004</v>
      </c>
      <c r="X10" s="11">
        <f t="shared" si="98"/>
        <v>293859.14417087007</v>
      </c>
      <c r="Y10" s="11">
        <f t="shared" si="98"/>
        <v>331912.26917087007</v>
      </c>
      <c r="Z10" s="11">
        <f t="shared" si="98"/>
        <v>274187.0441708701</v>
      </c>
      <c r="AA10" s="11">
        <f t="shared" si="98"/>
        <v>320812.79999999993</v>
      </c>
      <c r="AB10" s="11">
        <f t="shared" si="98"/>
        <v>380185.59999999998</v>
      </c>
      <c r="AC10" s="11">
        <f t="shared" si="98"/>
        <v>423963.19999999995</v>
      </c>
      <c r="AD10" s="11">
        <f t="shared" si="98"/>
        <v>338288.5</v>
      </c>
      <c r="AE10" s="11">
        <f t="shared" si="98"/>
        <v>403698.27499999991</v>
      </c>
      <c r="AF10" s="11">
        <f t="shared" si="98"/>
        <v>472253.22499999986</v>
      </c>
      <c r="AG10" s="11">
        <f t="shared" si="98"/>
        <v>521232.44999999995</v>
      </c>
      <c r="AH10" s="11">
        <f t="shared" si="98"/>
        <v>403662.52499999991</v>
      </c>
      <c r="AI10" s="11">
        <f t="shared" si="98"/>
        <v>486042.75</v>
      </c>
      <c r="AJ10" s="11">
        <f t="shared" si="98"/>
        <v>563642.99999999977</v>
      </c>
      <c r="AK10" s="11">
        <f t="shared" si="98"/>
        <v>617827.49999999977</v>
      </c>
      <c r="AL10" s="11">
        <f t="shared" si="98"/>
        <v>465986</v>
      </c>
      <c r="AM10" s="11">
        <f t="shared" si="98"/>
        <v>585858.00000000023</v>
      </c>
      <c r="AN10" s="11">
        <f t="shared" si="98"/>
        <v>675174.375</v>
      </c>
      <c r="AO10" s="11">
        <f t="shared" si="98"/>
        <v>736385.25</v>
      </c>
      <c r="AP10" s="11">
        <f t="shared" si="98"/>
        <v>551172.75</v>
      </c>
      <c r="AQ10" s="11">
        <f t="shared" si="98"/>
        <v>687463.125</v>
      </c>
      <c r="AR10" s="11">
        <f t="shared" si="98"/>
        <v>788812.87500000023</v>
      </c>
      <c r="AS10" s="11">
        <f t="shared" si="98"/>
        <v>857140.87500000023</v>
      </c>
      <c r="AT10" s="11">
        <f t="shared" si="98"/>
        <v>637921.75</v>
      </c>
      <c r="AU10" s="11">
        <f t="shared" si="98"/>
        <v>789311.62500000023</v>
      </c>
      <c r="AV10" s="11">
        <f t="shared" si="98"/>
        <v>903305.625</v>
      </c>
      <c r="AW10" s="11">
        <f t="shared" si="98"/>
        <v>979086.37500000047</v>
      </c>
      <c r="AX10" s="11">
        <f t="shared" si="98"/>
        <v>725756.75</v>
      </c>
      <c r="AY10" s="11">
        <f t="shared" si="98"/>
        <v>891710.62500000023</v>
      </c>
      <c r="AZ10" s="11">
        <f t="shared" si="98"/>
        <v>1018825.8750000005</v>
      </c>
      <c r="BA10" s="11">
        <f t="shared" si="98"/>
        <v>1102207.875</v>
      </c>
      <c r="BB10" s="11">
        <f t="shared" si="98"/>
        <v>814542.75</v>
      </c>
      <c r="BC10" s="11">
        <f t="shared" si="98"/>
        <v>966231.375</v>
      </c>
      <c r="BD10" s="11">
        <f t="shared" si="98"/>
        <v>1106854.875</v>
      </c>
      <c r="BE10" s="11">
        <f t="shared" si="98"/>
        <v>1197739.125</v>
      </c>
      <c r="BF10" s="11">
        <f t="shared" si="98"/>
        <v>884937.25</v>
      </c>
      <c r="BG10" s="1" t="s">
        <v>7</v>
      </c>
      <c r="BH10" s="6" t="s">
        <v>15</v>
      </c>
      <c r="BI10" s="85">
        <f>SUMIF($C$4:$BF$4,BI$5,$C$10:$BF$10)</f>
        <v>178664</v>
      </c>
      <c r="BJ10" s="85">
        <f t="shared" ref="BJ10:BV10" si="99">SUMIF($C$4:$BF$4,BJ$5,$C$10:$BF$10)</f>
        <v>241584</v>
      </c>
      <c r="BK10" s="85">
        <f t="shared" si="99"/>
        <v>401533.03834174015</v>
      </c>
      <c r="BL10" s="85">
        <f t="shared" si="99"/>
        <v>594740.57668348029</v>
      </c>
      <c r="BM10" s="85">
        <f t="shared" si="99"/>
        <v>849710.37668348034</v>
      </c>
      <c r="BN10" s="85">
        <f t="shared" si="99"/>
        <v>1144170.7516834801</v>
      </c>
      <c r="BO10" s="85">
        <f t="shared" si="99"/>
        <v>1463250.0999999999</v>
      </c>
      <c r="BP10" s="85">
        <f t="shared" si="99"/>
        <v>1800846.4749999996</v>
      </c>
      <c r="BQ10" s="85">
        <f t="shared" si="99"/>
        <v>2133499.2499999995</v>
      </c>
      <c r="BR10" s="85">
        <f t="shared" si="99"/>
        <v>2548590.375</v>
      </c>
      <c r="BS10" s="85">
        <f t="shared" si="99"/>
        <v>2971338.6250000005</v>
      </c>
      <c r="BT10" s="85">
        <f t="shared" si="99"/>
        <v>3397460.3750000009</v>
      </c>
      <c r="BU10" s="85">
        <f t="shared" si="99"/>
        <v>3827287.1250000009</v>
      </c>
      <c r="BV10" s="85">
        <f t="shared" si="99"/>
        <v>4155762.625</v>
      </c>
    </row>
    <row r="11" spans="2:74" ht="20.05" customHeight="1" x14ac:dyDescent="0.4">
      <c r="B11" s="13" t="s">
        <v>1</v>
      </c>
      <c r="C11" s="14">
        <f>C7-C10</f>
        <v>30883</v>
      </c>
      <c r="D11" s="14">
        <f t="shared" ref="D11:L11" si="100">D7-D10</f>
        <v>65137</v>
      </c>
      <c r="E11" s="14">
        <f t="shared" si="100"/>
        <v>73496</v>
      </c>
      <c r="F11" s="14">
        <f t="shared" si="100"/>
        <v>124672</v>
      </c>
      <c r="G11" s="14">
        <f t="shared" si="100"/>
        <v>79706</v>
      </c>
      <c r="H11" s="14">
        <f t="shared" si="100"/>
        <v>103218</v>
      </c>
      <c r="I11" s="14">
        <f t="shared" si="100"/>
        <v>126548</v>
      </c>
      <c r="J11" s="14">
        <f t="shared" si="100"/>
        <v>204876</v>
      </c>
      <c r="K11" s="14">
        <f t="shared" si="100"/>
        <v>128217</v>
      </c>
      <c r="L11" s="14">
        <f t="shared" si="100"/>
        <v>155834</v>
      </c>
      <c r="M11" s="49">
        <f t="shared" ref="M11:BF11" si="101">M7*M90-M91</f>
        <v>208722.23082912993</v>
      </c>
      <c r="N11" s="14">
        <f t="shared" si="101"/>
        <v>318463.73082912993</v>
      </c>
      <c r="O11" s="94">
        <f t="shared" si="101"/>
        <v>215046.73082912993</v>
      </c>
      <c r="P11" s="94">
        <f t="shared" si="101"/>
        <v>270195.98082912993</v>
      </c>
      <c r="Q11" s="94">
        <f t="shared" si="101"/>
        <v>317454.23082912999</v>
      </c>
      <c r="R11" s="94">
        <f t="shared" si="101"/>
        <v>463442.48082912993</v>
      </c>
      <c r="S11" s="94">
        <f t="shared" si="101"/>
        <v>336383.93082912994</v>
      </c>
      <c r="T11" s="94">
        <f t="shared" si="101"/>
        <v>413412.53082912997</v>
      </c>
      <c r="U11" s="94">
        <f t="shared" si="101"/>
        <v>475482.23082912993</v>
      </c>
      <c r="V11" s="94">
        <f t="shared" si="101"/>
        <v>666855.93082912988</v>
      </c>
      <c r="W11" s="94">
        <f t="shared" si="101"/>
        <v>491730.20582912996</v>
      </c>
      <c r="X11" s="94">
        <f t="shared" si="101"/>
        <v>592528.35582912993</v>
      </c>
      <c r="Y11" s="94">
        <f t="shared" si="101"/>
        <v>669787.73082912993</v>
      </c>
      <c r="Z11" s="94">
        <f t="shared" si="101"/>
        <v>912055.4558291299</v>
      </c>
      <c r="AA11" s="94">
        <f t="shared" si="101"/>
        <v>681727.20000000007</v>
      </c>
      <c r="AB11" s="94">
        <f t="shared" si="101"/>
        <v>807894.4</v>
      </c>
      <c r="AC11" s="94">
        <f t="shared" si="101"/>
        <v>900921.8</v>
      </c>
      <c r="AD11" s="94">
        <f t="shared" si="101"/>
        <v>1199386.5</v>
      </c>
      <c r="AE11" s="94">
        <f t="shared" si="101"/>
        <v>898554.22500000009</v>
      </c>
      <c r="AF11" s="94">
        <f t="shared" si="101"/>
        <v>1051144.2750000001</v>
      </c>
      <c r="AG11" s="94">
        <f t="shared" si="101"/>
        <v>1160162.55</v>
      </c>
      <c r="AH11" s="94">
        <f t="shared" si="101"/>
        <v>1518539.9750000001</v>
      </c>
      <c r="AI11" s="94">
        <f t="shared" si="101"/>
        <v>1134099.75</v>
      </c>
      <c r="AJ11" s="94">
        <f t="shared" si="101"/>
        <v>1315167.0000000002</v>
      </c>
      <c r="AK11" s="94">
        <f t="shared" si="101"/>
        <v>1441597.5</v>
      </c>
      <c r="AL11" s="94">
        <f t="shared" si="101"/>
        <v>1863944</v>
      </c>
      <c r="AM11" s="94">
        <f t="shared" si="101"/>
        <v>1367002</v>
      </c>
      <c r="AN11" s="94">
        <f t="shared" si="101"/>
        <v>1575406.8749999995</v>
      </c>
      <c r="AO11" s="94">
        <f t="shared" si="101"/>
        <v>1718232.25</v>
      </c>
      <c r="AP11" s="94">
        <f t="shared" si="101"/>
        <v>2204691</v>
      </c>
      <c r="AQ11" s="94">
        <f t="shared" si="101"/>
        <v>1604080.625</v>
      </c>
      <c r="AR11" s="94">
        <f t="shared" si="101"/>
        <v>1840563.3749999998</v>
      </c>
      <c r="AS11" s="94">
        <f t="shared" si="101"/>
        <v>1999995.3749999998</v>
      </c>
      <c r="AT11" s="94">
        <f t="shared" si="101"/>
        <v>2551687</v>
      </c>
      <c r="AU11" s="94">
        <f t="shared" si="101"/>
        <v>1841727.1249999998</v>
      </c>
      <c r="AV11" s="94">
        <f t="shared" si="101"/>
        <v>2107713.125</v>
      </c>
      <c r="AW11" s="94">
        <f t="shared" si="101"/>
        <v>2284534.875</v>
      </c>
      <c r="AX11" s="94">
        <f t="shared" si="101"/>
        <v>2903027</v>
      </c>
      <c r="AY11" s="94">
        <f t="shared" si="101"/>
        <v>2080658.1249999998</v>
      </c>
      <c r="AZ11" s="94">
        <f t="shared" si="101"/>
        <v>2377260.375</v>
      </c>
      <c r="BA11" s="94">
        <f t="shared" si="101"/>
        <v>2571818.375</v>
      </c>
      <c r="BB11" s="94">
        <f t="shared" si="101"/>
        <v>3258171</v>
      </c>
      <c r="BC11" s="94">
        <f t="shared" si="101"/>
        <v>2254539.875</v>
      </c>
      <c r="BD11" s="94">
        <f t="shared" si="101"/>
        <v>2582661.375</v>
      </c>
      <c r="BE11" s="94">
        <f t="shared" si="101"/>
        <v>2794724.625</v>
      </c>
      <c r="BF11" s="94">
        <f t="shared" si="101"/>
        <v>3539749</v>
      </c>
      <c r="BG11" s="1" t="s">
        <v>7</v>
      </c>
      <c r="BH11" s="13" t="s">
        <v>1</v>
      </c>
      <c r="BI11" s="178">
        <f>SUMIF($C$4:$BF$4,BI$5,$C$11:$BF$11)</f>
        <v>294188</v>
      </c>
      <c r="BJ11" s="178">
        <f t="shared" ref="BJ11:BV11" si="102">SUMIF($C$4:$BF$4,BJ$5,$C$11:$BF$11)</f>
        <v>514348</v>
      </c>
      <c r="BK11" s="178">
        <f t="shared" si="102"/>
        <v>811236.96165825985</v>
      </c>
      <c r="BL11" s="178">
        <f t="shared" si="102"/>
        <v>1266139.4233165197</v>
      </c>
      <c r="BM11" s="178">
        <f t="shared" si="102"/>
        <v>1892134.6233165197</v>
      </c>
      <c r="BN11" s="178">
        <f t="shared" si="102"/>
        <v>2666101.7483165199</v>
      </c>
      <c r="BO11" s="178">
        <f t="shared" si="102"/>
        <v>3589929.9000000004</v>
      </c>
      <c r="BP11" s="178">
        <f t="shared" si="102"/>
        <v>4628401.0250000004</v>
      </c>
      <c r="BQ11" s="178">
        <f t="shared" si="102"/>
        <v>5754808.25</v>
      </c>
      <c r="BR11" s="178">
        <f t="shared" si="102"/>
        <v>6865332.125</v>
      </c>
      <c r="BS11" s="178">
        <f t="shared" si="102"/>
        <v>7996326.375</v>
      </c>
      <c r="BT11" s="178">
        <f t="shared" si="102"/>
        <v>9137002.125</v>
      </c>
      <c r="BU11" s="178">
        <f t="shared" si="102"/>
        <v>10287907.875</v>
      </c>
      <c r="BV11" s="178">
        <f t="shared" si="102"/>
        <v>11171674.875</v>
      </c>
    </row>
    <row r="12" spans="2:74" ht="20.05" customHeight="1" x14ac:dyDescent="0.4">
      <c r="B12" s="7" t="s">
        <v>2</v>
      </c>
      <c r="C12" s="4">
        <f>C11/C7</f>
        <v>0.37468001213224145</v>
      </c>
      <c r="D12" s="4">
        <f t="shared" ref="D12:BF12" si="103">D11/D7</f>
        <v>0.6441045012261688</v>
      </c>
      <c r="E12" s="4">
        <f t="shared" si="103"/>
        <v>0.63384302260398606</v>
      </c>
      <c r="F12" s="4">
        <f t="shared" si="103"/>
        <v>0.71920898088216634</v>
      </c>
      <c r="G12" s="4">
        <f t="shared" si="103"/>
        <v>0.60677989326958948</v>
      </c>
      <c r="H12" s="4">
        <f t="shared" si="103"/>
        <v>0.6403419524542161</v>
      </c>
      <c r="I12" s="4">
        <f t="shared" si="103"/>
        <v>0.66535224004584725</v>
      </c>
      <c r="J12" s="4">
        <f t="shared" si="103"/>
        <v>0.74995607356214122</v>
      </c>
      <c r="K12" s="4">
        <f t="shared" si="103"/>
        <v>0.63501740866025125</v>
      </c>
      <c r="L12" s="4">
        <f t="shared" si="103"/>
        <v>0.59649606314282544</v>
      </c>
      <c r="M12" s="52">
        <f t="shared" si="103"/>
        <v>0.64581896354816026</v>
      </c>
      <c r="N12" s="5">
        <f t="shared" si="103"/>
        <v>0.74683113087831232</v>
      </c>
      <c r="O12" s="5">
        <f t="shared" si="103"/>
        <v>0.64594115952520104</v>
      </c>
      <c r="P12" s="5">
        <f t="shared" si="103"/>
        <v>0.64676548018414637</v>
      </c>
      <c r="Q12" s="5">
        <f t="shared" si="103"/>
        <v>0.64724495041313423</v>
      </c>
      <c r="R12" s="5">
        <f t="shared" si="103"/>
        <v>0.7478195664675944</v>
      </c>
      <c r="S12" s="5">
        <f t="shared" si="103"/>
        <v>0.65735935829971459</v>
      </c>
      <c r="T12" s="5">
        <f t="shared" si="103"/>
        <v>0.65784976979000043</v>
      </c>
      <c r="U12" s="5">
        <f t="shared" si="103"/>
        <v>0.65812966653396998</v>
      </c>
      <c r="V12" s="5">
        <f t="shared" si="103"/>
        <v>0.75846310460309119</v>
      </c>
      <c r="W12" s="5">
        <f t="shared" si="103"/>
        <v>0.66816389300676338</v>
      </c>
      <c r="X12" s="5">
        <f t="shared" si="103"/>
        <v>0.66847553223520184</v>
      </c>
      <c r="Y12" s="5">
        <f t="shared" si="103"/>
        <v>0.66865102408818</v>
      </c>
      <c r="Z12" s="5">
        <f t="shared" si="103"/>
        <v>0.76886088285416343</v>
      </c>
      <c r="AA12" s="5">
        <f t="shared" si="103"/>
        <v>0.68</v>
      </c>
      <c r="AB12" s="5">
        <f t="shared" si="103"/>
        <v>0.68</v>
      </c>
      <c r="AC12" s="5">
        <f t="shared" si="103"/>
        <v>0.68</v>
      </c>
      <c r="AD12" s="5">
        <f t="shared" si="103"/>
        <v>0.78</v>
      </c>
      <c r="AE12" s="5">
        <f t="shared" si="103"/>
        <v>0.69000000000000006</v>
      </c>
      <c r="AF12" s="5">
        <f t="shared" si="103"/>
        <v>0.69000000000000006</v>
      </c>
      <c r="AG12" s="5">
        <f t="shared" si="103"/>
        <v>0.69000000000000006</v>
      </c>
      <c r="AH12" s="5">
        <f t="shared" si="103"/>
        <v>0.79</v>
      </c>
      <c r="AI12" s="5">
        <f t="shared" si="103"/>
        <v>0.7</v>
      </c>
      <c r="AJ12" s="5">
        <f t="shared" si="103"/>
        <v>0.70000000000000018</v>
      </c>
      <c r="AK12" s="5">
        <f t="shared" si="103"/>
        <v>0.70000000000000007</v>
      </c>
      <c r="AL12" s="5">
        <f t="shared" si="103"/>
        <v>0.8</v>
      </c>
      <c r="AM12" s="5">
        <f t="shared" si="103"/>
        <v>0.7</v>
      </c>
      <c r="AN12" s="5">
        <f t="shared" si="103"/>
        <v>0.7</v>
      </c>
      <c r="AO12" s="5">
        <f t="shared" si="103"/>
        <v>0.7</v>
      </c>
      <c r="AP12" s="5">
        <f t="shared" si="103"/>
        <v>0.8</v>
      </c>
      <c r="AQ12" s="5">
        <f t="shared" si="103"/>
        <v>0.7</v>
      </c>
      <c r="AR12" s="5">
        <f t="shared" si="103"/>
        <v>0.7</v>
      </c>
      <c r="AS12" s="5">
        <f t="shared" si="103"/>
        <v>0.7</v>
      </c>
      <c r="AT12" s="5">
        <f t="shared" si="103"/>
        <v>0.8</v>
      </c>
      <c r="AU12" s="5">
        <f t="shared" si="103"/>
        <v>0.7</v>
      </c>
      <c r="AV12" s="5">
        <f t="shared" si="103"/>
        <v>0.7</v>
      </c>
      <c r="AW12" s="5">
        <f t="shared" si="103"/>
        <v>0.7</v>
      </c>
      <c r="AX12" s="5">
        <f t="shared" si="103"/>
        <v>0.8</v>
      </c>
      <c r="AY12" s="5">
        <f t="shared" si="103"/>
        <v>0.7</v>
      </c>
      <c r="AZ12" s="5">
        <f t="shared" si="103"/>
        <v>0.7</v>
      </c>
      <c r="BA12" s="5">
        <f t="shared" si="103"/>
        <v>0.7</v>
      </c>
      <c r="BB12" s="5">
        <f t="shared" si="103"/>
        <v>0.8</v>
      </c>
      <c r="BC12" s="5">
        <f t="shared" si="103"/>
        <v>0.7</v>
      </c>
      <c r="BD12" s="5">
        <f t="shared" si="103"/>
        <v>0.7</v>
      </c>
      <c r="BE12" s="5">
        <f t="shared" si="103"/>
        <v>0.7</v>
      </c>
      <c r="BF12" s="5">
        <f t="shared" si="103"/>
        <v>0.8</v>
      </c>
      <c r="BG12" s="1" t="s">
        <v>7</v>
      </c>
      <c r="BH12" s="7" t="s">
        <v>2</v>
      </c>
      <c r="BI12" s="5">
        <f t="shared" ref="BI12:BV12" si="104">BI11/BI7</f>
        <v>0.62215661560065305</v>
      </c>
      <c r="BJ12" s="5">
        <f t="shared" si="104"/>
        <v>0.68041569876655572</v>
      </c>
      <c r="BK12" s="5">
        <f t="shared" si="104"/>
        <v>0.66891245797493326</v>
      </c>
      <c r="BL12" s="5">
        <f t="shared" si="104"/>
        <v>0.68039821123152466</v>
      </c>
      <c r="BM12" s="5">
        <f t="shared" si="104"/>
        <v>0.69009540047541695</v>
      </c>
      <c r="BN12" s="5">
        <f t="shared" si="104"/>
        <v>0.69971419322804862</v>
      </c>
      <c r="BO12" s="5">
        <f t="shared" si="104"/>
        <v>0.71042984813523369</v>
      </c>
      <c r="BP12" s="5">
        <f t="shared" si="104"/>
        <v>0.71989778352754352</v>
      </c>
      <c r="BQ12" s="5">
        <f t="shared" si="104"/>
        <v>0.7295365007005622</v>
      </c>
      <c r="BR12" s="5">
        <f t="shared" si="104"/>
        <v>0.72927434074372288</v>
      </c>
      <c r="BS12" s="5">
        <f t="shared" si="104"/>
        <v>0.72908193083942663</v>
      </c>
      <c r="BT12" s="5">
        <f t="shared" si="104"/>
        <v>0.72895045359942634</v>
      </c>
      <c r="BU12" s="5">
        <f t="shared" si="104"/>
        <v>0.72885340053750591</v>
      </c>
      <c r="BV12" s="5">
        <f t="shared" si="104"/>
        <v>0.72886774941995358</v>
      </c>
    </row>
    <row r="13" spans="2:74" ht="20.05" customHeight="1" x14ac:dyDescent="0.4"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53"/>
      <c r="BG13" s="1" t="s">
        <v>7</v>
      </c>
      <c r="BH13" s="3"/>
    </row>
    <row r="14" spans="2:74" ht="20.05" customHeight="1" x14ac:dyDescent="0.4">
      <c r="B14" s="1" t="s">
        <v>9</v>
      </c>
      <c r="C14" s="12">
        <v>48069</v>
      </c>
      <c r="D14" s="12">
        <v>51495</v>
      </c>
      <c r="E14" s="12">
        <v>53930</v>
      </c>
      <c r="F14" s="12">
        <v>54479</v>
      </c>
      <c r="G14" s="12">
        <v>60047</v>
      </c>
      <c r="H14" s="12">
        <v>61604</v>
      </c>
      <c r="I14" s="12">
        <v>63541</v>
      </c>
      <c r="J14" s="12">
        <v>66470</v>
      </c>
      <c r="K14" s="12">
        <v>76394</v>
      </c>
      <c r="L14" s="12">
        <v>801879</v>
      </c>
      <c r="M14" s="54">
        <f t="shared" ref="M14:BF14" si="105">M102+M129</f>
        <v>148117.13504006676</v>
      </c>
      <c r="N14" s="21">
        <f t="shared" si="105"/>
        <v>141552.24074006674</v>
      </c>
      <c r="O14" s="21">
        <f t="shared" si="105"/>
        <v>144837.56126006675</v>
      </c>
      <c r="P14" s="21">
        <f t="shared" si="105"/>
        <v>173066.00183006676</v>
      </c>
      <c r="Q14" s="21">
        <f t="shared" si="105"/>
        <v>197255.39156006678</v>
      </c>
      <c r="R14" s="21">
        <f t="shared" si="105"/>
        <v>184026.69854006675</v>
      </c>
      <c r="S14" s="21">
        <f t="shared" si="105"/>
        <v>194007.07198006677</v>
      </c>
      <c r="T14" s="21">
        <f t="shared" si="105"/>
        <v>230483.84880006674</v>
      </c>
      <c r="U14" s="21">
        <f t="shared" si="105"/>
        <v>259876.86119006676</v>
      </c>
      <c r="V14" s="21">
        <f t="shared" si="105"/>
        <v>237951.88866006676</v>
      </c>
      <c r="W14" s="21">
        <f t="shared" si="105"/>
        <v>256666.24829006675</v>
      </c>
      <c r="X14" s="21">
        <f t="shared" si="105"/>
        <v>302169.84299006674</v>
      </c>
      <c r="Y14" s="21">
        <f t="shared" si="105"/>
        <v>337047.26174006675</v>
      </c>
      <c r="Z14" s="21">
        <f t="shared" si="105"/>
        <v>297186.41121006676</v>
      </c>
      <c r="AA14" s="21">
        <f t="shared" si="105"/>
        <v>293120.64012</v>
      </c>
      <c r="AB14" s="21">
        <f t="shared" si="105"/>
        <v>347368.45423999993</v>
      </c>
      <c r="AC14" s="21">
        <f t="shared" si="105"/>
        <v>387367.22652999999</v>
      </c>
      <c r="AD14" s="21">
        <f t="shared" si="105"/>
        <v>325559.62634999998</v>
      </c>
      <c r="AE14" s="21">
        <f t="shared" si="105"/>
        <v>367620.67173999996</v>
      </c>
      <c r="AF14" s="21">
        <f t="shared" si="105"/>
        <v>430049.02065999992</v>
      </c>
      <c r="AG14" s="21">
        <f t="shared" si="105"/>
        <v>474651.08291999996</v>
      </c>
      <c r="AH14" s="21">
        <f t="shared" si="105"/>
        <v>387592.91209999996</v>
      </c>
      <c r="AI14" s="21">
        <f t="shared" si="105"/>
        <v>441025.4704949999</v>
      </c>
      <c r="AJ14" s="21">
        <f t="shared" si="105"/>
        <v>511438.38533999998</v>
      </c>
      <c r="AK14" s="21">
        <f t="shared" si="105"/>
        <v>560604.31694999989</v>
      </c>
      <c r="AL14" s="21">
        <f t="shared" si="105"/>
        <v>458061.90807</v>
      </c>
      <c r="AM14" s="21">
        <f t="shared" si="105"/>
        <v>521751.46477999998</v>
      </c>
      <c r="AN14" s="21">
        <f t="shared" si="105"/>
        <v>601294.54430624982</v>
      </c>
      <c r="AO14" s="21">
        <f t="shared" si="105"/>
        <v>655807.5213275</v>
      </c>
      <c r="AP14" s="21">
        <f t="shared" si="105"/>
        <v>527907.74822249997</v>
      </c>
      <c r="AQ14" s="21">
        <f t="shared" si="105"/>
        <v>600686.94627499988</v>
      </c>
      <c r="AR14" s="21">
        <f t="shared" si="105"/>
        <v>689243.65516499989</v>
      </c>
      <c r="AS14" s="21">
        <f t="shared" si="105"/>
        <v>748946.83948499977</v>
      </c>
      <c r="AT14" s="21">
        <f t="shared" si="105"/>
        <v>594916.2552237499</v>
      </c>
      <c r="AU14" s="21">
        <f t="shared" si="105"/>
        <v>676416.38327624986</v>
      </c>
      <c r="AV14" s="21">
        <f t="shared" si="105"/>
        <v>774105.82145624992</v>
      </c>
      <c r="AW14" s="21">
        <f t="shared" si="105"/>
        <v>839047.65078375</v>
      </c>
      <c r="AX14" s="21">
        <f t="shared" si="105"/>
        <v>658537.15981499979</v>
      </c>
      <c r="AY14" s="21">
        <f t="shared" si="105"/>
        <v>749185.5434374999</v>
      </c>
      <c r="AZ14" s="21">
        <f t="shared" si="105"/>
        <v>855983.53931249992</v>
      </c>
      <c r="BA14" s="21">
        <f t="shared" si="105"/>
        <v>926038.31631249981</v>
      </c>
      <c r="BB14" s="21">
        <f t="shared" si="105"/>
        <v>718569.25048124988</v>
      </c>
      <c r="BC14" s="21">
        <f t="shared" si="105"/>
        <v>795559.48569124984</v>
      </c>
      <c r="BD14" s="21">
        <f t="shared" si="105"/>
        <v>911343.71939624974</v>
      </c>
      <c r="BE14" s="21">
        <f t="shared" si="105"/>
        <v>986174.4784237498</v>
      </c>
      <c r="BF14" s="21">
        <f t="shared" si="105"/>
        <v>758364.67513249989</v>
      </c>
      <c r="BG14" s="1" t="s">
        <v>7</v>
      </c>
      <c r="BH14" s="1" t="s">
        <v>9</v>
      </c>
      <c r="BI14" s="84">
        <f t="shared" ref="BI14:BV14" si="106">SUMIF($C$4:$BF$4,BI$5,$C14:$BF14)</f>
        <v>207973</v>
      </c>
      <c r="BJ14" s="84">
        <f t="shared" si="106"/>
        <v>251662</v>
      </c>
      <c r="BK14" s="84">
        <f t="shared" si="106"/>
        <v>1167942.3757801335</v>
      </c>
      <c r="BL14" s="84">
        <f t="shared" si="106"/>
        <v>699185.65319026704</v>
      </c>
      <c r="BM14" s="84">
        <f t="shared" si="106"/>
        <v>922319.67063026701</v>
      </c>
      <c r="BN14" s="84">
        <f t="shared" si="106"/>
        <v>1193069.7642302671</v>
      </c>
      <c r="BO14" s="84">
        <f t="shared" si="106"/>
        <v>1353415.9472399999</v>
      </c>
      <c r="BP14" s="84">
        <f t="shared" si="106"/>
        <v>1659913.6874199999</v>
      </c>
      <c r="BQ14" s="84">
        <f t="shared" si="106"/>
        <v>1971130.0808549998</v>
      </c>
      <c r="BR14" s="84">
        <f t="shared" si="106"/>
        <v>2306761.2786362497</v>
      </c>
      <c r="BS14" s="84">
        <f t="shared" si="106"/>
        <v>2633793.6961487494</v>
      </c>
      <c r="BT14" s="84">
        <f t="shared" si="106"/>
        <v>2948107.0153312497</v>
      </c>
      <c r="BU14" s="84">
        <f t="shared" si="106"/>
        <v>3249776.6495437492</v>
      </c>
      <c r="BV14" s="84">
        <f t="shared" si="106"/>
        <v>3451442.3586437497</v>
      </c>
    </row>
    <row r="15" spans="2:74" ht="20.05" customHeight="1" x14ac:dyDescent="0.4">
      <c r="B15" s="7" t="s">
        <v>11</v>
      </c>
      <c r="C15" s="22">
        <f t="shared" ref="C15:AH15" si="107">C14/C7</f>
        <v>0.58318471337579614</v>
      </c>
      <c r="D15" s="22">
        <f t="shared" si="107"/>
        <v>0.50920615457637841</v>
      </c>
      <c r="E15" s="22">
        <f t="shared" si="107"/>
        <v>0.46510223970056835</v>
      </c>
      <c r="F15" s="22">
        <f t="shared" si="107"/>
        <v>0.31427895653779148</v>
      </c>
      <c r="G15" s="22">
        <f t="shared" si="107"/>
        <v>0.45712132400520711</v>
      </c>
      <c r="H15" s="22">
        <f t="shared" si="107"/>
        <v>0.38217777557198868</v>
      </c>
      <c r="I15" s="22">
        <f t="shared" si="107"/>
        <v>0.33407992765395877</v>
      </c>
      <c r="J15" s="22">
        <f t="shared" si="107"/>
        <v>0.2433158603724962</v>
      </c>
      <c r="K15" s="22">
        <f t="shared" si="107"/>
        <v>0.37835481969778761</v>
      </c>
      <c r="L15" s="22">
        <f t="shared" si="107"/>
        <v>3.0694050503542596</v>
      </c>
      <c r="M15" s="50">
        <f t="shared" si="107"/>
        <v>0.4582973948453441</v>
      </c>
      <c r="N15" s="22">
        <f t="shared" si="107"/>
        <v>0.33195497570486082</v>
      </c>
      <c r="O15" s="22">
        <f t="shared" si="107"/>
        <v>0.43505214844427115</v>
      </c>
      <c r="P15" s="22">
        <f t="shared" si="107"/>
        <v>0.41426639816659305</v>
      </c>
      <c r="Q15" s="22">
        <f t="shared" si="107"/>
        <v>0.40217626268694673</v>
      </c>
      <c r="R15" s="22">
        <f t="shared" si="107"/>
        <v>0.29694896694512363</v>
      </c>
      <c r="S15" s="22">
        <f t="shared" si="107"/>
        <v>0.37912739775671611</v>
      </c>
      <c r="T15" s="22">
        <f t="shared" si="107"/>
        <v>0.36676137167236883</v>
      </c>
      <c r="U15" s="22">
        <f t="shared" si="107"/>
        <v>0.35970360384797639</v>
      </c>
      <c r="V15" s="22">
        <f t="shared" si="107"/>
        <v>0.27063975871803048</v>
      </c>
      <c r="W15" s="22">
        <f t="shared" si="107"/>
        <v>0.34875856237418923</v>
      </c>
      <c r="X15" s="22">
        <f t="shared" si="107"/>
        <v>0.34090038836295272</v>
      </c>
      <c r="Y15" s="22">
        <f t="shared" si="107"/>
        <v>0.33647525380859217</v>
      </c>
      <c r="Z15" s="22">
        <f t="shared" si="107"/>
        <v>0.25052753649449144</v>
      </c>
      <c r="AA15" s="22">
        <f t="shared" si="107"/>
        <v>0.29237799999999997</v>
      </c>
      <c r="AB15" s="22">
        <f t="shared" si="107"/>
        <v>0.29237799999999997</v>
      </c>
      <c r="AC15" s="22">
        <f t="shared" si="107"/>
        <v>0.29237799999999997</v>
      </c>
      <c r="AD15" s="22">
        <f t="shared" si="107"/>
        <v>0.21172199999999999</v>
      </c>
      <c r="AE15" s="22">
        <f t="shared" si="107"/>
        <v>0.28229599999999999</v>
      </c>
      <c r="AF15" s="22">
        <f t="shared" si="107"/>
        <v>0.28229599999999994</v>
      </c>
      <c r="AG15" s="22">
        <f t="shared" si="107"/>
        <v>0.28229599999999999</v>
      </c>
      <c r="AH15" s="22">
        <f t="shared" si="107"/>
        <v>0.20163999999999999</v>
      </c>
      <c r="AI15" s="22">
        <f t="shared" ref="AI15:BF15" si="108">AI14/AI7</f>
        <v>0.27221399999999996</v>
      </c>
      <c r="AJ15" s="22">
        <f t="shared" si="108"/>
        <v>0.27221400000000001</v>
      </c>
      <c r="AK15" s="22">
        <f t="shared" si="108"/>
        <v>0.27221399999999996</v>
      </c>
      <c r="AL15" s="22">
        <f t="shared" si="108"/>
        <v>0.196599</v>
      </c>
      <c r="AM15" s="22">
        <f t="shared" si="108"/>
        <v>0.26717299999999994</v>
      </c>
      <c r="AN15" s="22">
        <f t="shared" si="108"/>
        <v>0.26717299999999999</v>
      </c>
      <c r="AO15" s="22">
        <f t="shared" si="108"/>
        <v>0.26717299999999999</v>
      </c>
      <c r="AP15" s="22">
        <f t="shared" si="108"/>
        <v>0.19155799999999998</v>
      </c>
      <c r="AQ15" s="22">
        <f t="shared" si="108"/>
        <v>0.26213199999999992</v>
      </c>
      <c r="AR15" s="22">
        <f t="shared" si="108"/>
        <v>0.26213199999999998</v>
      </c>
      <c r="AS15" s="22">
        <f t="shared" si="108"/>
        <v>0.26213199999999992</v>
      </c>
      <c r="AT15" s="22">
        <f t="shared" si="108"/>
        <v>0.18651699999999996</v>
      </c>
      <c r="AU15" s="22">
        <f t="shared" si="108"/>
        <v>0.25709099999999996</v>
      </c>
      <c r="AV15" s="22">
        <f t="shared" si="108"/>
        <v>0.25709099999999996</v>
      </c>
      <c r="AW15" s="22">
        <f t="shared" si="108"/>
        <v>0.25709099999999996</v>
      </c>
      <c r="AX15" s="22">
        <f t="shared" si="108"/>
        <v>0.18147599999999994</v>
      </c>
      <c r="AY15" s="22">
        <f t="shared" si="108"/>
        <v>0.25204999999999994</v>
      </c>
      <c r="AZ15" s="22">
        <f t="shared" si="108"/>
        <v>0.25204999999999994</v>
      </c>
      <c r="BA15" s="22">
        <f t="shared" si="108"/>
        <v>0.25204999999999994</v>
      </c>
      <c r="BB15" s="22">
        <f t="shared" si="108"/>
        <v>0.17643499999999998</v>
      </c>
      <c r="BC15" s="22">
        <f t="shared" si="108"/>
        <v>0.24700899999999995</v>
      </c>
      <c r="BD15" s="22">
        <f t="shared" si="108"/>
        <v>0.24700899999999992</v>
      </c>
      <c r="BE15" s="22">
        <f t="shared" si="108"/>
        <v>0.24700899999999995</v>
      </c>
      <c r="BF15" s="22">
        <f t="shared" si="108"/>
        <v>0.17139399999999996</v>
      </c>
      <c r="BG15" s="1" t="s">
        <v>7</v>
      </c>
      <c r="BH15" s="7" t="s">
        <v>11</v>
      </c>
      <c r="BI15" s="73">
        <f t="shared" ref="BI15:BV15" si="109">BI14/BI7</f>
        <v>0.43982683799582112</v>
      </c>
      <c r="BJ15" s="73">
        <f t="shared" si="109"/>
        <v>0.33291618822857083</v>
      </c>
      <c r="BK15" s="73">
        <f t="shared" si="109"/>
        <v>0.96303699446732149</v>
      </c>
      <c r="BL15" s="73">
        <f t="shared" si="109"/>
        <v>0.37572850113401562</v>
      </c>
      <c r="BM15" s="73">
        <f t="shared" si="109"/>
        <v>0.33638651004351705</v>
      </c>
      <c r="BN15" s="73">
        <f t="shared" si="109"/>
        <v>0.31311927538785406</v>
      </c>
      <c r="BO15" s="73">
        <f t="shared" si="109"/>
        <v>0.2678345016880459</v>
      </c>
      <c r="BP15" s="73">
        <f t="shared" si="109"/>
        <v>0.25818164371802454</v>
      </c>
      <c r="BQ15" s="73">
        <f t="shared" si="109"/>
        <v>0.24987997499526987</v>
      </c>
      <c r="BR15" s="73">
        <f t="shared" si="109"/>
        <v>0.24503720724663389</v>
      </c>
      <c r="BS15" s="73">
        <f t="shared" si="109"/>
        <v>0.24014169799576751</v>
      </c>
      <c r="BT15" s="73">
        <f t="shared" si="109"/>
        <v>0.23520011451079373</v>
      </c>
      <c r="BU15" s="73">
        <f t="shared" si="109"/>
        <v>0.23023250118356489</v>
      </c>
      <c r="BV15" s="73">
        <f t="shared" si="109"/>
        <v>0.22518065127610207</v>
      </c>
    </row>
    <row r="16" spans="2:74" ht="20.05" customHeight="1" x14ac:dyDescent="0.4">
      <c r="B16" s="1" t="s">
        <v>10</v>
      </c>
      <c r="C16" s="12">
        <v>31554</v>
      </c>
      <c r="D16" s="12">
        <v>37388</v>
      </c>
      <c r="E16" s="12">
        <v>41970</v>
      </c>
      <c r="F16" s="12">
        <v>51602</v>
      </c>
      <c r="G16" s="12">
        <v>55774</v>
      </c>
      <c r="H16" s="12">
        <v>65148</v>
      </c>
      <c r="I16" s="12">
        <v>66722</v>
      </c>
      <c r="J16" s="12">
        <v>72285</v>
      </c>
      <c r="K16" s="12">
        <v>72444</v>
      </c>
      <c r="L16" s="12">
        <v>296919</v>
      </c>
      <c r="M16" s="54">
        <f t="shared" ref="M16:BF16" si="110">M104+M130</f>
        <v>122873.28678889347</v>
      </c>
      <c r="N16" s="21">
        <f t="shared" si="110"/>
        <v>137690.19153889347</v>
      </c>
      <c r="O16" s="21">
        <f t="shared" si="110"/>
        <v>126280.48953889347</v>
      </c>
      <c r="P16" s="21">
        <f t="shared" si="110"/>
        <v>155991.08741389349</v>
      </c>
      <c r="Q16" s="21">
        <f t="shared" si="110"/>
        <v>181450.56078889349</v>
      </c>
      <c r="R16" s="21">
        <f t="shared" si="110"/>
        <v>195710.68728889347</v>
      </c>
      <c r="S16" s="21">
        <f t="shared" si="110"/>
        <v>181212.14163889346</v>
      </c>
      <c r="T16" s="21">
        <f t="shared" si="110"/>
        <v>220329.54056389348</v>
      </c>
      <c r="U16" s="21">
        <f t="shared" si="110"/>
        <v>251850.36810139345</v>
      </c>
      <c r="V16" s="21">
        <f t="shared" si="110"/>
        <v>260403.21738889345</v>
      </c>
      <c r="W16" s="21">
        <f t="shared" si="110"/>
        <v>245319.57933889344</v>
      </c>
      <c r="X16" s="21">
        <f t="shared" si="110"/>
        <v>293486.05053889344</v>
      </c>
      <c r="Y16" s="21">
        <f t="shared" si="110"/>
        <v>330404.50053889339</v>
      </c>
      <c r="Z16" s="21">
        <f t="shared" si="110"/>
        <v>330145.84627639345</v>
      </c>
      <c r="AA16" s="21">
        <f t="shared" si="110"/>
        <v>310942.79369999998</v>
      </c>
      <c r="AB16" s="21">
        <f t="shared" si="110"/>
        <v>368488.95239999995</v>
      </c>
      <c r="AC16" s="21">
        <f t="shared" si="110"/>
        <v>410919.70717499993</v>
      </c>
      <c r="AD16" s="21">
        <f t="shared" si="110"/>
        <v>399995.39774999995</v>
      </c>
      <c r="AE16" s="21">
        <f t="shared" si="110"/>
        <v>390871.08787499997</v>
      </c>
      <c r="AF16" s="21">
        <f t="shared" si="110"/>
        <v>457247.75962499989</v>
      </c>
      <c r="AG16" s="21">
        <f t="shared" si="110"/>
        <v>504670.7092499999</v>
      </c>
      <c r="AH16" s="21">
        <f t="shared" si="110"/>
        <v>480790.9003124999</v>
      </c>
      <c r="AI16" s="21">
        <f t="shared" si="110"/>
        <v>478181.00851874985</v>
      </c>
      <c r="AJ16" s="21">
        <f t="shared" si="110"/>
        <v>554526.0744749998</v>
      </c>
      <c r="AK16" s="21">
        <f t="shared" si="110"/>
        <v>607834.14018749981</v>
      </c>
      <c r="AL16" s="21">
        <f t="shared" si="110"/>
        <v>571118.26642499981</v>
      </c>
      <c r="AM16" s="21">
        <f t="shared" si="110"/>
        <v>566612.56469999987</v>
      </c>
      <c r="AN16" s="21">
        <f t="shared" si="110"/>
        <v>652994.89678124967</v>
      </c>
      <c r="AO16" s="21">
        <f t="shared" si="110"/>
        <v>712194.99453749985</v>
      </c>
      <c r="AP16" s="21">
        <f t="shared" si="110"/>
        <v>661738.00364999985</v>
      </c>
      <c r="AQ16" s="21">
        <f t="shared" si="110"/>
        <v>653416.51373437478</v>
      </c>
      <c r="AR16" s="21">
        <f t="shared" si="110"/>
        <v>749746.9173656248</v>
      </c>
      <c r="AS16" s="21">
        <f t="shared" si="110"/>
        <v>814690.97316562477</v>
      </c>
      <c r="AT16" s="21">
        <f t="shared" si="110"/>
        <v>749932.83527812478</v>
      </c>
      <c r="AU16" s="21">
        <f t="shared" si="110"/>
        <v>737059.19542499969</v>
      </c>
      <c r="AV16" s="21">
        <f t="shared" si="110"/>
        <v>843506.79262499977</v>
      </c>
      <c r="AW16" s="21">
        <f t="shared" si="110"/>
        <v>914270.85697499989</v>
      </c>
      <c r="AX16" s="21">
        <f t="shared" si="110"/>
        <v>835037.57263124967</v>
      </c>
      <c r="AY16" s="21">
        <f t="shared" si="110"/>
        <v>817810.10695312475</v>
      </c>
      <c r="AZ16" s="21">
        <f t="shared" si="110"/>
        <v>934390.68060937489</v>
      </c>
      <c r="BA16" s="21">
        <f t="shared" si="110"/>
        <v>1010862.3973593747</v>
      </c>
      <c r="BB16" s="21">
        <f t="shared" si="110"/>
        <v>916818.77404687461</v>
      </c>
      <c r="BC16" s="21">
        <f t="shared" si="110"/>
        <v>870043.04161874973</v>
      </c>
      <c r="BD16" s="21">
        <f t="shared" si="110"/>
        <v>996667.47219374962</v>
      </c>
      <c r="BE16" s="21">
        <f t="shared" si="110"/>
        <v>1078504.1951062498</v>
      </c>
      <c r="BF16" s="21">
        <f t="shared" si="110"/>
        <v>973917.69048749958</v>
      </c>
      <c r="BG16" s="1" t="s">
        <v>7</v>
      </c>
      <c r="BH16" s="1" t="s">
        <v>10</v>
      </c>
      <c r="BI16" s="84">
        <f t="shared" ref="BI16:BV16" si="111">SUMIF($C$4:$BF$4,BI$5,$C16:$BF16)</f>
        <v>162514</v>
      </c>
      <c r="BJ16" s="84">
        <f t="shared" si="111"/>
        <v>259929</v>
      </c>
      <c r="BK16" s="84">
        <f t="shared" si="111"/>
        <v>629926.4783277869</v>
      </c>
      <c r="BL16" s="84">
        <f t="shared" si="111"/>
        <v>659432.82503057388</v>
      </c>
      <c r="BM16" s="84">
        <f t="shared" si="111"/>
        <v>913795.26769307384</v>
      </c>
      <c r="BN16" s="84">
        <f t="shared" si="111"/>
        <v>1199355.9766930738</v>
      </c>
      <c r="BO16" s="84">
        <f t="shared" si="111"/>
        <v>1490346.8510249997</v>
      </c>
      <c r="BP16" s="84">
        <f t="shared" si="111"/>
        <v>1833580.4570624996</v>
      </c>
      <c r="BQ16" s="84">
        <f t="shared" si="111"/>
        <v>2211659.4896062491</v>
      </c>
      <c r="BR16" s="84">
        <f t="shared" si="111"/>
        <v>2593540.459668749</v>
      </c>
      <c r="BS16" s="84">
        <f t="shared" si="111"/>
        <v>2967787.239543749</v>
      </c>
      <c r="BT16" s="84">
        <f t="shared" si="111"/>
        <v>3329874.4176562489</v>
      </c>
      <c r="BU16" s="84">
        <f t="shared" si="111"/>
        <v>3679881.9589687493</v>
      </c>
      <c r="BV16" s="84">
        <f t="shared" si="111"/>
        <v>3919132.3994062487</v>
      </c>
    </row>
    <row r="17" spans="2:74" ht="20.05" customHeight="1" x14ac:dyDescent="0.4">
      <c r="B17" s="7" t="s">
        <v>12</v>
      </c>
      <c r="C17" s="22">
        <f t="shared" ref="C17:AH17" si="112">C16/C7</f>
        <v>0.38282074613284806</v>
      </c>
      <c r="D17" s="22">
        <f t="shared" si="112"/>
        <v>0.36970967486749468</v>
      </c>
      <c r="E17" s="22">
        <f t="shared" si="112"/>
        <v>0.36195699981889212</v>
      </c>
      <c r="F17" s="22">
        <f t="shared" si="112"/>
        <v>0.2976820924624739</v>
      </c>
      <c r="G17" s="22">
        <f t="shared" si="112"/>
        <v>0.42459214823498959</v>
      </c>
      <c r="H17" s="22">
        <f t="shared" si="112"/>
        <v>0.40416397836120899</v>
      </c>
      <c r="I17" s="22">
        <f t="shared" si="112"/>
        <v>0.35080469197726566</v>
      </c>
      <c r="J17" s="22">
        <f t="shared" si="112"/>
        <v>0.26460188005154034</v>
      </c>
      <c r="K17" s="22">
        <f t="shared" si="112"/>
        <v>0.35879174487769366</v>
      </c>
      <c r="L17" s="22">
        <f t="shared" si="112"/>
        <v>1.1365364077948623</v>
      </c>
      <c r="M17" s="50">
        <f t="shared" si="112"/>
        <v>0.3801890120018982</v>
      </c>
      <c r="N17" s="22">
        <f t="shared" si="112"/>
        <v>0.32289806186129516</v>
      </c>
      <c r="O17" s="22">
        <f t="shared" si="112"/>
        <v>0.37931181526761226</v>
      </c>
      <c r="P17" s="22">
        <f t="shared" si="112"/>
        <v>0.37339434230702306</v>
      </c>
      <c r="Q17" s="22">
        <f t="shared" si="112"/>
        <v>0.36995241460006417</v>
      </c>
      <c r="R17" s="22">
        <f t="shared" si="112"/>
        <v>0.31580247253038601</v>
      </c>
      <c r="S17" s="22">
        <f t="shared" si="112"/>
        <v>0.354123625496157</v>
      </c>
      <c r="T17" s="22">
        <f t="shared" si="112"/>
        <v>0.35060315478874893</v>
      </c>
      <c r="U17" s="22">
        <f t="shared" si="112"/>
        <v>0.3485938864339852</v>
      </c>
      <c r="V17" s="22">
        <f t="shared" si="112"/>
        <v>0.29617526601862271</v>
      </c>
      <c r="W17" s="22">
        <f t="shared" si="112"/>
        <v>0.33334068808214423</v>
      </c>
      <c r="X17" s="22">
        <f t="shared" si="112"/>
        <v>0.33110355294822347</v>
      </c>
      <c r="Y17" s="22">
        <f t="shared" si="112"/>
        <v>0.32984376613646144</v>
      </c>
      <c r="Z17" s="22">
        <f t="shared" si="112"/>
        <v>0.27831227280795745</v>
      </c>
      <c r="AA17" s="22">
        <f t="shared" si="112"/>
        <v>0.31015499999999996</v>
      </c>
      <c r="AB17" s="22">
        <f t="shared" si="112"/>
        <v>0.31015499999999996</v>
      </c>
      <c r="AC17" s="22">
        <f t="shared" si="112"/>
        <v>0.31015499999999996</v>
      </c>
      <c r="AD17" s="22">
        <f t="shared" si="112"/>
        <v>0.26012999999999997</v>
      </c>
      <c r="AE17" s="22">
        <f t="shared" si="112"/>
        <v>0.30014999999999997</v>
      </c>
      <c r="AF17" s="22">
        <f t="shared" si="112"/>
        <v>0.30014999999999992</v>
      </c>
      <c r="AG17" s="22">
        <f t="shared" si="112"/>
        <v>0.30014999999999992</v>
      </c>
      <c r="AH17" s="22">
        <f t="shared" si="112"/>
        <v>0.25012499999999993</v>
      </c>
      <c r="AI17" s="22">
        <f t="shared" ref="AI17:BF17" si="113">AI16/AI7</f>
        <v>0.2951474999999999</v>
      </c>
      <c r="AJ17" s="22">
        <f t="shared" si="113"/>
        <v>0.2951474999999999</v>
      </c>
      <c r="AK17" s="22">
        <f t="shared" si="113"/>
        <v>0.29514749999999995</v>
      </c>
      <c r="AL17" s="22">
        <f t="shared" si="113"/>
        <v>0.24512249999999991</v>
      </c>
      <c r="AM17" s="22">
        <f t="shared" si="113"/>
        <v>0.29014499999999988</v>
      </c>
      <c r="AN17" s="22">
        <f t="shared" si="113"/>
        <v>0.29014499999999993</v>
      </c>
      <c r="AO17" s="22">
        <f t="shared" si="113"/>
        <v>0.29014499999999993</v>
      </c>
      <c r="AP17" s="22">
        <f t="shared" si="113"/>
        <v>0.24011999999999994</v>
      </c>
      <c r="AQ17" s="22">
        <f t="shared" si="113"/>
        <v>0.28514249999999991</v>
      </c>
      <c r="AR17" s="22">
        <f t="shared" si="113"/>
        <v>0.28514249999999991</v>
      </c>
      <c r="AS17" s="22">
        <f t="shared" si="113"/>
        <v>0.28514249999999991</v>
      </c>
      <c r="AT17" s="22">
        <f t="shared" si="113"/>
        <v>0.23511749999999992</v>
      </c>
      <c r="AU17" s="22">
        <f t="shared" si="113"/>
        <v>0.28013999999999989</v>
      </c>
      <c r="AV17" s="22">
        <f t="shared" si="113"/>
        <v>0.28013999999999994</v>
      </c>
      <c r="AW17" s="22">
        <f t="shared" si="113"/>
        <v>0.28013999999999994</v>
      </c>
      <c r="AX17" s="22">
        <f t="shared" si="113"/>
        <v>0.2301149999999999</v>
      </c>
      <c r="AY17" s="22">
        <f t="shared" si="113"/>
        <v>0.27513749999999992</v>
      </c>
      <c r="AZ17" s="22">
        <f t="shared" si="113"/>
        <v>0.27513749999999992</v>
      </c>
      <c r="BA17" s="22">
        <f t="shared" si="113"/>
        <v>0.27513749999999992</v>
      </c>
      <c r="BB17" s="22">
        <f t="shared" si="113"/>
        <v>0.22511249999999991</v>
      </c>
      <c r="BC17" s="22">
        <f t="shared" si="113"/>
        <v>0.2701349999999999</v>
      </c>
      <c r="BD17" s="22">
        <f t="shared" si="113"/>
        <v>0.2701349999999999</v>
      </c>
      <c r="BE17" s="22">
        <f t="shared" si="113"/>
        <v>0.27013499999999996</v>
      </c>
      <c r="BF17" s="22">
        <f t="shared" si="113"/>
        <v>0.22010999999999992</v>
      </c>
      <c r="BG17" s="1" t="s">
        <v>7</v>
      </c>
      <c r="BH17" s="7" t="s">
        <v>12</v>
      </c>
      <c r="BI17" s="73">
        <f t="shared" ref="BI17:BV17" si="114">BI16/BI7</f>
        <v>0.34368893438115944</v>
      </c>
      <c r="BJ17" s="73">
        <f t="shared" si="114"/>
        <v>0.3438523570903203</v>
      </c>
      <c r="BK17" s="73">
        <f t="shared" si="114"/>
        <v>0.51941132970619897</v>
      </c>
      <c r="BL17" s="73">
        <f t="shared" si="114"/>
        <v>0.35436611980921601</v>
      </c>
      <c r="BM17" s="73">
        <f t="shared" si="114"/>
        <v>0.33327750755169377</v>
      </c>
      <c r="BN17" s="73">
        <f t="shared" si="114"/>
        <v>0.31476908192080061</v>
      </c>
      <c r="BO17" s="73">
        <f t="shared" si="114"/>
        <v>0.29493246847034932</v>
      </c>
      <c r="BP17" s="73">
        <f t="shared" si="114"/>
        <v>0.28519363379034635</v>
      </c>
      <c r="BQ17" s="73">
        <f t="shared" si="114"/>
        <v>0.28037186552454363</v>
      </c>
      <c r="BR17" s="73">
        <f t="shared" si="114"/>
        <v>0.27550051104295248</v>
      </c>
      <c r="BS17" s="73">
        <f t="shared" si="114"/>
        <v>0.27059426409757675</v>
      </c>
      <c r="BT17" s="73">
        <f t="shared" si="114"/>
        <v>0.26565753558688687</v>
      </c>
      <c r="BU17" s="73">
        <f t="shared" si="114"/>
        <v>0.26070358638111263</v>
      </c>
      <c r="BV17" s="73">
        <f t="shared" si="114"/>
        <v>0.25569390835266814</v>
      </c>
    </row>
    <row r="18" spans="2:74" ht="20.05" customHeight="1" x14ac:dyDescent="0.4">
      <c r="B18" s="1" t="s">
        <v>13</v>
      </c>
      <c r="C18" s="12">
        <v>14260</v>
      </c>
      <c r="D18" s="12">
        <v>14642</v>
      </c>
      <c r="E18" s="12">
        <v>15653</v>
      </c>
      <c r="F18" s="12">
        <v>17080</v>
      </c>
      <c r="G18" s="12">
        <v>18867</v>
      </c>
      <c r="H18" s="12">
        <v>17834</v>
      </c>
      <c r="I18" s="12">
        <v>18716</v>
      </c>
      <c r="J18" s="12">
        <v>22061</v>
      </c>
      <c r="K18" s="12">
        <v>24205</v>
      </c>
      <c r="L18" s="12">
        <v>224179</v>
      </c>
      <c r="M18" s="54">
        <f t="shared" ref="M18:BF18" si="115">M106+M131</f>
        <v>41676.741550169711</v>
      </c>
      <c r="N18" s="21">
        <f t="shared" si="115"/>
        <v>47741.600350169705</v>
      </c>
      <c r="O18" s="21">
        <f t="shared" si="115"/>
        <v>45983.243750169706</v>
      </c>
      <c r="P18" s="21">
        <f t="shared" si="115"/>
        <v>51143.699050169707</v>
      </c>
      <c r="Q18" s="21">
        <f t="shared" si="115"/>
        <v>58421.469550169713</v>
      </c>
      <c r="R18" s="21">
        <f t="shared" si="115"/>
        <v>65156.447800169706</v>
      </c>
      <c r="S18" s="21">
        <f t="shared" si="115"/>
        <v>64646.448310169711</v>
      </c>
      <c r="T18" s="21">
        <f t="shared" si="115"/>
        <v>70973.148690169706</v>
      </c>
      <c r="U18" s="21">
        <f t="shared" si="115"/>
        <v>80198.775100169703</v>
      </c>
      <c r="V18" s="21">
        <f t="shared" si="115"/>
        <v>86774.153910169713</v>
      </c>
      <c r="W18" s="21">
        <f t="shared" si="115"/>
        <v>87413.337455169705</v>
      </c>
      <c r="X18" s="21">
        <f t="shared" si="115"/>
        <v>94503.715750169707</v>
      </c>
      <c r="Y18" s="21">
        <f t="shared" si="115"/>
        <v>105584.7857501697</v>
      </c>
      <c r="Z18" s="21">
        <f t="shared" si="115"/>
        <v>111444.2944051697</v>
      </c>
      <c r="AA18" s="21">
        <f t="shared" si="115"/>
        <v>104368.42416</v>
      </c>
      <c r="AB18" s="21">
        <f t="shared" si="115"/>
        <v>111791.19952000001</v>
      </c>
      <c r="AC18" s="21">
        <f t="shared" si="115"/>
        <v>124663.72919</v>
      </c>
      <c r="AD18" s="21">
        <f t="shared" si="115"/>
        <v>129293.86469999998</v>
      </c>
      <c r="AE18" s="21">
        <f t="shared" si="115"/>
        <v>132962.58475500002</v>
      </c>
      <c r="AF18" s="21">
        <f t="shared" si="115"/>
        <v>140292.72257000001</v>
      </c>
      <c r="AG18" s="21">
        <f t="shared" si="115"/>
        <v>154843.02833999999</v>
      </c>
      <c r="AH18" s="21">
        <f t="shared" si="115"/>
        <v>157778.22560499999</v>
      </c>
      <c r="AI18" s="21">
        <f t="shared" si="115"/>
        <v>162176.26425000001</v>
      </c>
      <c r="AJ18" s="21">
        <f t="shared" si="115"/>
        <v>169261.99289999998</v>
      </c>
      <c r="AK18" s="21">
        <f t="shared" si="115"/>
        <v>185533.59824999998</v>
      </c>
      <c r="AL18" s="21">
        <f t="shared" si="115"/>
        <v>186580.79439999996</v>
      </c>
      <c r="AM18" s="21">
        <f t="shared" si="115"/>
        <v>191571.66028000001</v>
      </c>
      <c r="AN18" s="21">
        <f t="shared" si="115"/>
        <v>198249.20114999995</v>
      </c>
      <c r="AO18" s="21">
        <f t="shared" si="115"/>
        <v>216222.34633999999</v>
      </c>
      <c r="AP18" s="21">
        <f t="shared" si="115"/>
        <v>215172.32987249998</v>
      </c>
      <c r="AQ18" s="21">
        <f t="shared" si="115"/>
        <v>220208.18819999998</v>
      </c>
      <c r="AR18" s="21">
        <f t="shared" si="115"/>
        <v>226352.48385749999</v>
      </c>
      <c r="AS18" s="21">
        <f t="shared" si="115"/>
        <v>245959.43121749998</v>
      </c>
      <c r="AT18" s="21">
        <f t="shared" si="115"/>
        <v>242652.67526499997</v>
      </c>
      <c r="AU18" s="21">
        <f t="shared" si="115"/>
        <v>247564.96014249997</v>
      </c>
      <c r="AV18" s="21">
        <f t="shared" si="115"/>
        <v>253178.50057499998</v>
      </c>
      <c r="AW18" s="21">
        <f t="shared" si="115"/>
        <v>274418.32918499998</v>
      </c>
      <c r="AX18" s="21">
        <f t="shared" si="115"/>
        <v>268798.52749749995</v>
      </c>
      <c r="AY18" s="21">
        <f t="shared" si="115"/>
        <v>273731.38292499993</v>
      </c>
      <c r="AZ18" s="21">
        <f t="shared" si="115"/>
        <v>278757.55157250003</v>
      </c>
      <c r="BA18" s="21">
        <f t="shared" si="115"/>
        <v>301571.42265249998</v>
      </c>
      <c r="BB18" s="21">
        <f t="shared" si="115"/>
        <v>293528.62538999988</v>
      </c>
      <c r="BC18" s="21">
        <f t="shared" si="115"/>
        <v>290159.28191249992</v>
      </c>
      <c r="BD18" s="21">
        <f t="shared" si="115"/>
        <v>295456.46129999991</v>
      </c>
      <c r="BE18" s="21">
        <f t="shared" si="115"/>
        <v>319716.49709999998</v>
      </c>
      <c r="BF18" s="21">
        <f t="shared" si="115"/>
        <v>310037.76553749992</v>
      </c>
      <c r="BG18" s="1" t="s">
        <v>7</v>
      </c>
      <c r="BH18" s="1" t="s">
        <v>13</v>
      </c>
      <c r="BI18" s="84">
        <f t="shared" ref="BI18:BV18" si="116">SUMIF($C$4:$BF$4,BI$5,$C18:$BF18)</f>
        <v>61635</v>
      </c>
      <c r="BJ18" s="84">
        <f t="shared" si="116"/>
        <v>77478</v>
      </c>
      <c r="BK18" s="84">
        <f t="shared" si="116"/>
        <v>337802.34190033941</v>
      </c>
      <c r="BL18" s="84">
        <f t="shared" si="116"/>
        <v>220704.86015067884</v>
      </c>
      <c r="BM18" s="84">
        <f t="shared" si="116"/>
        <v>302592.52601067885</v>
      </c>
      <c r="BN18" s="84">
        <f t="shared" si="116"/>
        <v>398946.1333606788</v>
      </c>
      <c r="BO18" s="84">
        <f t="shared" si="116"/>
        <v>470117.21756999998</v>
      </c>
      <c r="BP18" s="84">
        <f t="shared" si="116"/>
        <v>585876.56126999995</v>
      </c>
      <c r="BQ18" s="84">
        <f t="shared" si="116"/>
        <v>703552.6497999999</v>
      </c>
      <c r="BR18" s="84">
        <f t="shared" si="116"/>
        <v>821215.5376424999</v>
      </c>
      <c r="BS18" s="84">
        <f t="shared" si="116"/>
        <v>935172.77853999997</v>
      </c>
      <c r="BT18" s="84">
        <f t="shared" si="116"/>
        <v>1043960.3173999998</v>
      </c>
      <c r="BU18" s="84">
        <f t="shared" si="116"/>
        <v>1147588.9825399998</v>
      </c>
      <c r="BV18" s="84">
        <f t="shared" si="116"/>
        <v>1215370.0058499998</v>
      </c>
    </row>
    <row r="19" spans="2:74" ht="20.05" customHeight="1" x14ac:dyDescent="0.4">
      <c r="B19" s="15" t="s">
        <v>14</v>
      </c>
      <c r="C19" s="16">
        <f t="shared" ref="C19:AH19" si="117">C18/C7</f>
        <v>0.17300576281468003</v>
      </c>
      <c r="D19" s="16">
        <f t="shared" si="117"/>
        <v>0.14478680484138914</v>
      </c>
      <c r="E19" s="16">
        <f t="shared" si="117"/>
        <v>0.13499435115952152</v>
      </c>
      <c r="F19" s="16">
        <f t="shared" si="117"/>
        <v>9.8531261177067828E-2</v>
      </c>
      <c r="G19" s="16">
        <f t="shared" si="117"/>
        <v>0.14362929072237152</v>
      </c>
      <c r="H19" s="16">
        <f t="shared" si="117"/>
        <v>0.11063824507419723</v>
      </c>
      <c r="I19" s="16">
        <f t="shared" si="117"/>
        <v>9.8403234541028506E-2</v>
      </c>
      <c r="J19" s="16">
        <f t="shared" si="117"/>
        <v>8.0755095466791618E-2</v>
      </c>
      <c r="K19" s="16">
        <f t="shared" si="117"/>
        <v>0.11987955089123425</v>
      </c>
      <c r="L19" s="16">
        <f t="shared" si="117"/>
        <v>0.85810472001806704</v>
      </c>
      <c r="M19" s="55">
        <f t="shared" si="117"/>
        <v>0.12895430412503392</v>
      </c>
      <c r="N19" s="16">
        <f t="shared" si="117"/>
        <v>0.11195910217665613</v>
      </c>
      <c r="O19" s="16">
        <f t="shared" si="117"/>
        <v>0.13812100129211133</v>
      </c>
      <c r="P19" s="16">
        <f t="shared" si="117"/>
        <v>0.12242217287271483</v>
      </c>
      <c r="Q19" s="16">
        <f t="shared" si="117"/>
        <v>0.11911323740528412</v>
      </c>
      <c r="R19" s="16">
        <f t="shared" si="117"/>
        <v>0.10513767848669928</v>
      </c>
      <c r="S19" s="16">
        <f t="shared" si="117"/>
        <v>0.1263316819943909</v>
      </c>
      <c r="T19" s="16">
        <f t="shared" si="117"/>
        <v>0.11293723834026018</v>
      </c>
      <c r="U19" s="16">
        <f t="shared" si="117"/>
        <v>0.11100560586895007</v>
      </c>
      <c r="V19" s="16">
        <f t="shared" si="117"/>
        <v>9.8694472271069492E-2</v>
      </c>
      <c r="W19" s="16">
        <f t="shared" si="117"/>
        <v>0.11877740102680537</v>
      </c>
      <c r="X19" s="16">
        <f t="shared" si="117"/>
        <v>0.10661670629399637</v>
      </c>
      <c r="Y19" s="16">
        <f t="shared" si="117"/>
        <v>0.10540559623656753</v>
      </c>
      <c r="Z19" s="16">
        <f t="shared" si="117"/>
        <v>9.3947312126457863E-2</v>
      </c>
      <c r="AA19" s="16">
        <f t="shared" si="117"/>
        <v>0.10410399999999999</v>
      </c>
      <c r="AB19" s="16">
        <f t="shared" si="117"/>
        <v>9.4094000000000011E-2</v>
      </c>
      <c r="AC19" s="16">
        <f t="shared" si="117"/>
        <v>9.4093999999999997E-2</v>
      </c>
      <c r="AD19" s="16">
        <f t="shared" si="117"/>
        <v>8.4083999999999978E-2</v>
      </c>
      <c r="AE19" s="16">
        <f t="shared" si="117"/>
        <v>0.10210200000000001</v>
      </c>
      <c r="AF19" s="16">
        <f t="shared" si="117"/>
        <v>9.2092000000000007E-2</v>
      </c>
      <c r="AG19" s="16">
        <f t="shared" si="117"/>
        <v>9.2091999999999993E-2</v>
      </c>
      <c r="AH19" s="16">
        <f t="shared" si="117"/>
        <v>8.2081999999999988E-2</v>
      </c>
      <c r="AI19" s="16">
        <f t="shared" ref="AI19:BF19" si="118">AI18/AI7</f>
        <v>0.10010000000000001</v>
      </c>
      <c r="AJ19" s="16">
        <f t="shared" si="118"/>
        <v>9.008999999999999E-2</v>
      </c>
      <c r="AK19" s="16">
        <f t="shared" si="118"/>
        <v>9.0090000000000003E-2</v>
      </c>
      <c r="AL19" s="16">
        <f t="shared" si="118"/>
        <v>8.0079999999999985E-2</v>
      </c>
      <c r="AM19" s="16">
        <f t="shared" si="118"/>
        <v>9.8097999999999991E-2</v>
      </c>
      <c r="AN19" s="16">
        <f t="shared" si="118"/>
        <v>8.8088E-2</v>
      </c>
      <c r="AO19" s="16">
        <f t="shared" si="118"/>
        <v>8.8088E-2</v>
      </c>
      <c r="AP19" s="16">
        <f t="shared" si="118"/>
        <v>7.8077999999999995E-2</v>
      </c>
      <c r="AQ19" s="16">
        <f t="shared" si="118"/>
        <v>9.6095999999999987E-2</v>
      </c>
      <c r="AR19" s="16">
        <f t="shared" si="118"/>
        <v>8.6085999999999996E-2</v>
      </c>
      <c r="AS19" s="16">
        <f t="shared" si="118"/>
        <v>8.6085999999999996E-2</v>
      </c>
      <c r="AT19" s="16">
        <f t="shared" si="118"/>
        <v>7.6075999999999991E-2</v>
      </c>
      <c r="AU19" s="16">
        <f t="shared" si="118"/>
        <v>9.4093999999999983E-2</v>
      </c>
      <c r="AV19" s="16">
        <f t="shared" si="118"/>
        <v>8.4083999999999992E-2</v>
      </c>
      <c r="AW19" s="16">
        <f t="shared" si="118"/>
        <v>8.4083999999999978E-2</v>
      </c>
      <c r="AX19" s="16">
        <f t="shared" si="118"/>
        <v>7.4073999999999987E-2</v>
      </c>
      <c r="AY19" s="16">
        <f t="shared" si="118"/>
        <v>9.2091999999999979E-2</v>
      </c>
      <c r="AZ19" s="16">
        <f t="shared" si="118"/>
        <v>8.2082000000000002E-2</v>
      </c>
      <c r="BA19" s="16">
        <f t="shared" si="118"/>
        <v>8.2082000000000002E-2</v>
      </c>
      <c r="BB19" s="16">
        <f t="shared" si="118"/>
        <v>7.2071999999999969E-2</v>
      </c>
      <c r="BC19" s="16">
        <f t="shared" si="118"/>
        <v>9.0089999999999976E-2</v>
      </c>
      <c r="BD19" s="16">
        <f t="shared" si="118"/>
        <v>8.0079999999999971E-2</v>
      </c>
      <c r="BE19" s="16">
        <f t="shared" si="118"/>
        <v>8.0079999999999998E-2</v>
      </c>
      <c r="BF19" s="16">
        <f t="shared" si="118"/>
        <v>7.006999999999998E-2</v>
      </c>
      <c r="BG19" s="1" t="s">
        <v>7</v>
      </c>
      <c r="BH19" s="15" t="s">
        <v>14</v>
      </c>
      <c r="BI19" s="86">
        <f t="shared" ref="BI19:BV19" si="119">BI18/BI7</f>
        <v>0.13034733912513852</v>
      </c>
      <c r="BJ19" s="86">
        <f t="shared" si="119"/>
        <v>0.10249334596233524</v>
      </c>
      <c r="BK19" s="86">
        <f t="shared" si="119"/>
        <v>0.27853784468641163</v>
      </c>
      <c r="BL19" s="86">
        <f t="shared" si="119"/>
        <v>0.11860241399266951</v>
      </c>
      <c r="BM19" s="86">
        <f t="shared" si="119"/>
        <v>0.11036091610236132</v>
      </c>
      <c r="BN19" s="86">
        <f t="shared" si="119"/>
        <v>0.10470278263842778</v>
      </c>
      <c r="BO19" s="86">
        <f t="shared" si="119"/>
        <v>9.3033934585746006E-2</v>
      </c>
      <c r="BP19" s="86">
        <f t="shared" si="119"/>
        <v>9.1126770476638197E-2</v>
      </c>
      <c r="BQ19" s="86">
        <f t="shared" si="119"/>
        <v>8.9189303256750563E-2</v>
      </c>
      <c r="BR19" s="86">
        <f t="shared" si="119"/>
        <v>8.7234151082346376E-2</v>
      </c>
      <c r="BS19" s="86">
        <f t="shared" si="119"/>
        <v>8.5266351455847711E-2</v>
      </c>
      <c r="BT19" s="86">
        <f t="shared" si="119"/>
        <v>8.3287202574502089E-2</v>
      </c>
      <c r="BU19" s="86">
        <f t="shared" si="119"/>
        <v>8.1301674014422023E-2</v>
      </c>
      <c r="BV19" s="86">
        <f t="shared" si="119"/>
        <v>7.9293750560065879E-2</v>
      </c>
    </row>
    <row r="20" spans="2:74" ht="20.05" customHeight="1" x14ac:dyDescent="0.4">
      <c r="B20" s="8" t="s">
        <v>5</v>
      </c>
      <c r="C20" s="9">
        <v>-63000</v>
      </c>
      <c r="D20" s="9">
        <v>-38388</v>
      </c>
      <c r="E20" s="9">
        <v>-38057</v>
      </c>
      <c r="F20" s="9">
        <v>1511</v>
      </c>
      <c r="G20" s="9">
        <v>-54982</v>
      </c>
      <c r="H20" s="9">
        <v>-41368</v>
      </c>
      <c r="I20" s="9">
        <v>-22431</v>
      </c>
      <c r="J20" s="9">
        <v>44060</v>
      </c>
      <c r="K20" s="9">
        <v>-44826</v>
      </c>
      <c r="L20" s="9">
        <v>-1167143</v>
      </c>
      <c r="M20" s="49">
        <f>M11-M14-M16-M18</f>
        <v>-103944.93255000001</v>
      </c>
      <c r="N20" s="14">
        <f t="shared" ref="N20:BF20" si="120">N11-N14-N16-N18</f>
        <v>-8520.3017999999938</v>
      </c>
      <c r="O20" s="14">
        <f t="shared" si="120"/>
        <v>-102054.56372000001</v>
      </c>
      <c r="P20" s="14">
        <f t="shared" si="120"/>
        <v>-110004.80746500002</v>
      </c>
      <c r="Q20" s="14">
        <f t="shared" si="120"/>
        <v>-119673.19107</v>
      </c>
      <c r="R20" s="14">
        <f t="shared" si="120"/>
        <v>18548.647200000029</v>
      </c>
      <c r="S20" s="14">
        <f t="shared" si="120"/>
        <v>-103481.7311</v>
      </c>
      <c r="T20" s="14">
        <f t="shared" si="120"/>
        <v>-108374.00722499995</v>
      </c>
      <c r="U20" s="14">
        <f t="shared" si="120"/>
        <v>-116443.77356249999</v>
      </c>
      <c r="V20" s="14">
        <f t="shared" si="120"/>
        <v>81726.670869999958</v>
      </c>
      <c r="W20" s="14">
        <f t="shared" si="120"/>
        <v>-97668.959254999936</v>
      </c>
      <c r="X20" s="14">
        <f t="shared" si="120"/>
        <v>-97631.25344999996</v>
      </c>
      <c r="Y20" s="14">
        <f t="shared" si="120"/>
        <v>-103248.81719999992</v>
      </c>
      <c r="Z20" s="14">
        <f t="shared" si="120"/>
        <v>173278.9039375</v>
      </c>
      <c r="AA20" s="14">
        <f t="shared" si="120"/>
        <v>-26704.657979999902</v>
      </c>
      <c r="AB20" s="14">
        <f t="shared" si="120"/>
        <v>-19754.206159999871</v>
      </c>
      <c r="AC20" s="14">
        <f t="shared" si="120"/>
        <v>-22028.862894999867</v>
      </c>
      <c r="AD20" s="14">
        <f t="shared" si="120"/>
        <v>344537.61120000004</v>
      </c>
      <c r="AE20" s="14">
        <f t="shared" si="120"/>
        <v>7099.8806300002034</v>
      </c>
      <c r="AF20" s="14">
        <f t="shared" si="120"/>
        <v>23554.772145000316</v>
      </c>
      <c r="AG20" s="14">
        <f t="shared" si="120"/>
        <v>25997.729490000202</v>
      </c>
      <c r="AH20" s="14">
        <f t="shared" si="120"/>
        <v>492377.93698250043</v>
      </c>
      <c r="AI20" s="14">
        <f t="shared" si="120"/>
        <v>52717.006736250245</v>
      </c>
      <c r="AJ20" s="14">
        <f t="shared" si="120"/>
        <v>79940.547285000415</v>
      </c>
      <c r="AK20" s="14">
        <f t="shared" si="120"/>
        <v>87625.444612500316</v>
      </c>
      <c r="AL20" s="14">
        <f t="shared" si="120"/>
        <v>648183.03110500029</v>
      </c>
      <c r="AM20" s="14">
        <f t="shared" si="120"/>
        <v>87066.310240000079</v>
      </c>
      <c r="AN20" s="14">
        <f t="shared" si="120"/>
        <v>122868.23276250009</v>
      </c>
      <c r="AO20" s="14">
        <f t="shared" si="120"/>
        <v>134007.38779500016</v>
      </c>
      <c r="AP20" s="14">
        <f t="shared" si="120"/>
        <v>799872.91825500014</v>
      </c>
      <c r="AQ20" s="14">
        <f t="shared" si="120"/>
        <v>129768.97679062537</v>
      </c>
      <c r="AR20" s="14">
        <f t="shared" si="120"/>
        <v>175220.31861187509</v>
      </c>
      <c r="AS20" s="14">
        <f t="shared" si="120"/>
        <v>190398.13113187536</v>
      </c>
      <c r="AT20" s="14">
        <f t="shared" si="120"/>
        <v>964185.23423312535</v>
      </c>
      <c r="AU20" s="14">
        <f t="shared" si="120"/>
        <v>180686.58615625012</v>
      </c>
      <c r="AV20" s="14">
        <f t="shared" si="120"/>
        <v>236922.01034375044</v>
      </c>
      <c r="AW20" s="14">
        <f t="shared" si="120"/>
        <v>256798.03805625014</v>
      </c>
      <c r="AX20" s="14">
        <f t="shared" si="120"/>
        <v>1140653.7400562505</v>
      </c>
      <c r="AY20" s="14">
        <f t="shared" si="120"/>
        <v>239931.09168437531</v>
      </c>
      <c r="AZ20" s="14">
        <f t="shared" si="120"/>
        <v>308128.60350562504</v>
      </c>
      <c r="BA20" s="14">
        <f t="shared" si="120"/>
        <v>333346.23867562553</v>
      </c>
      <c r="BB20" s="14">
        <f t="shared" si="120"/>
        <v>1329254.3500818757</v>
      </c>
      <c r="BC20" s="14">
        <f t="shared" si="120"/>
        <v>298778.06577750051</v>
      </c>
      <c r="BD20" s="14">
        <f t="shared" si="120"/>
        <v>379193.72211000061</v>
      </c>
      <c r="BE20" s="14">
        <f t="shared" si="120"/>
        <v>410329.45437000046</v>
      </c>
      <c r="BF20" s="14">
        <f t="shared" si="120"/>
        <v>1497428.8688425005</v>
      </c>
      <c r="BG20" s="1" t="s">
        <v>7</v>
      </c>
      <c r="BH20" s="8" t="s">
        <v>5</v>
      </c>
      <c r="BI20" s="178">
        <f t="shared" ref="BI20:BV20" si="121">SUMIF($C$4:$BF$4,BI$5,$C20:$BF20)</f>
        <v>-137934</v>
      </c>
      <c r="BJ20" s="178">
        <f t="shared" si="121"/>
        <v>-74721</v>
      </c>
      <c r="BK20" s="178">
        <f t="shared" si="121"/>
        <v>-1324434.23435</v>
      </c>
      <c r="BL20" s="178">
        <f t="shared" si="121"/>
        <v>-313183.91505499999</v>
      </c>
      <c r="BM20" s="178">
        <f t="shared" si="121"/>
        <v>-246572.84101749997</v>
      </c>
      <c r="BN20" s="178">
        <f t="shared" si="121"/>
        <v>-125270.12596749983</v>
      </c>
      <c r="BO20" s="178">
        <f t="shared" si="121"/>
        <v>276049.8841650004</v>
      </c>
      <c r="BP20" s="178">
        <f t="shared" si="121"/>
        <v>549030.3192475012</v>
      </c>
      <c r="BQ20" s="178">
        <f t="shared" si="121"/>
        <v>868466.02973875124</v>
      </c>
      <c r="BR20" s="178">
        <f t="shared" si="121"/>
        <v>1143814.8490525004</v>
      </c>
      <c r="BS20" s="178">
        <f t="shared" si="121"/>
        <v>1459572.6607675012</v>
      </c>
      <c r="BT20" s="178">
        <f t="shared" si="121"/>
        <v>1815060.3746125011</v>
      </c>
      <c r="BU20" s="178">
        <f t="shared" si="121"/>
        <v>2210660.2839475013</v>
      </c>
      <c r="BV20" s="178">
        <f t="shared" si="121"/>
        <v>2585730.1111000022</v>
      </c>
    </row>
    <row r="21" spans="2:74" ht="20.05" customHeight="1" x14ac:dyDescent="0.4">
      <c r="B21" s="7" t="s">
        <v>6</v>
      </c>
      <c r="C21" s="4">
        <f t="shared" ref="C21:AH21" si="122">C20/C7</f>
        <v>-0.76433121019108285</v>
      </c>
      <c r="D21" s="4">
        <f t="shared" si="122"/>
        <v>-0.3795981330590934</v>
      </c>
      <c r="E21" s="4">
        <f t="shared" si="122"/>
        <v>-0.32821056807499588</v>
      </c>
      <c r="F21" s="4">
        <f t="shared" si="122"/>
        <v>8.7166707048331078E-3</v>
      </c>
      <c r="G21" s="4">
        <f t="shared" si="122"/>
        <v>-0.41856286969297879</v>
      </c>
      <c r="H21" s="4">
        <f t="shared" si="122"/>
        <v>-0.25663804655317884</v>
      </c>
      <c r="I21" s="4">
        <f t="shared" si="122"/>
        <v>-0.11793561412640578</v>
      </c>
      <c r="J21" s="4">
        <f t="shared" si="122"/>
        <v>0.16128323767131311</v>
      </c>
      <c r="K21" s="4">
        <f t="shared" si="122"/>
        <v>-0.22200870680646423</v>
      </c>
      <c r="L21" s="4">
        <f t="shared" si="122"/>
        <v>-4.4675501150243635</v>
      </c>
      <c r="M21" s="50">
        <f t="shared" si="122"/>
        <v>-0.32162174742411587</v>
      </c>
      <c r="N21" s="4">
        <f t="shared" si="122"/>
        <v>-1.9981008864499775E-2</v>
      </c>
      <c r="O21" s="4">
        <f t="shared" si="122"/>
        <v>-0.30654380547879373</v>
      </c>
      <c r="P21" s="4">
        <f t="shared" si="122"/>
        <v>-0.26331743316218453</v>
      </c>
      <c r="Q21" s="4">
        <f t="shared" si="122"/>
        <v>-0.24399696427916079</v>
      </c>
      <c r="R21" s="4">
        <f t="shared" si="122"/>
        <v>2.9930448505385499E-2</v>
      </c>
      <c r="S21" s="4">
        <f t="shared" si="122"/>
        <v>-0.20222334694754945</v>
      </c>
      <c r="T21" s="4">
        <f t="shared" si="122"/>
        <v>-0.17245199501137748</v>
      </c>
      <c r="U21" s="4">
        <f t="shared" si="122"/>
        <v>-0.16117342961694175</v>
      </c>
      <c r="V21" s="4">
        <f t="shared" si="122"/>
        <v>9.2953607595368581E-2</v>
      </c>
      <c r="W21" s="4">
        <f t="shared" si="122"/>
        <v>-0.13271275847637545</v>
      </c>
      <c r="X21" s="4">
        <f t="shared" si="122"/>
        <v>-0.11014511536997076</v>
      </c>
      <c r="Y21" s="4">
        <f t="shared" si="122"/>
        <v>-0.10307359209344107</v>
      </c>
      <c r="Z21" s="4">
        <f t="shared" si="122"/>
        <v>0.14607376142525663</v>
      </c>
      <c r="AA21" s="4">
        <f t="shared" si="122"/>
        <v>-2.66369999999999E-2</v>
      </c>
      <c r="AB21" s="4">
        <f t="shared" si="122"/>
        <v>-1.6626999999999892E-2</v>
      </c>
      <c r="AC21" s="4">
        <f t="shared" si="122"/>
        <v>-1.6626999999999899E-2</v>
      </c>
      <c r="AD21" s="4">
        <f t="shared" si="122"/>
        <v>0.22406400000000004</v>
      </c>
      <c r="AE21" s="4">
        <f t="shared" si="122"/>
        <v>5.4520000000001564E-3</v>
      </c>
      <c r="AF21" s="4">
        <f t="shared" si="122"/>
        <v>1.5462000000000206E-2</v>
      </c>
      <c r="AG21" s="4">
        <f t="shared" si="122"/>
        <v>1.546200000000012E-2</v>
      </c>
      <c r="AH21" s="4">
        <f t="shared" si="122"/>
        <v>0.25615300000000024</v>
      </c>
      <c r="AI21" s="4">
        <f t="shared" ref="AI21:BF21" si="123">AI20/AI7</f>
        <v>3.2538500000000151E-2</v>
      </c>
      <c r="AJ21" s="4">
        <f t="shared" si="123"/>
        <v>4.2548500000000218E-2</v>
      </c>
      <c r="AK21" s="4">
        <f t="shared" si="123"/>
        <v>4.2548500000000156E-2</v>
      </c>
      <c r="AL21" s="4">
        <f t="shared" si="123"/>
        <v>0.27819850000000013</v>
      </c>
      <c r="AM21" s="4">
        <f t="shared" si="123"/>
        <v>4.4584000000000033E-2</v>
      </c>
      <c r="AN21" s="4">
        <f t="shared" si="123"/>
        <v>5.4594000000000052E-2</v>
      </c>
      <c r="AO21" s="4">
        <f t="shared" si="123"/>
        <v>5.4594000000000066E-2</v>
      </c>
      <c r="AP21" s="4">
        <f t="shared" si="123"/>
        <v>0.29024400000000006</v>
      </c>
      <c r="AQ21" s="4">
        <f t="shared" si="123"/>
        <v>5.6629500000000159E-2</v>
      </c>
      <c r="AR21" s="4">
        <f t="shared" si="123"/>
        <v>6.6639500000000032E-2</v>
      </c>
      <c r="AS21" s="4">
        <f t="shared" si="123"/>
        <v>6.6639500000000129E-2</v>
      </c>
      <c r="AT21" s="4">
        <f t="shared" si="123"/>
        <v>0.3022895000000001</v>
      </c>
      <c r="AU21" s="4">
        <f t="shared" si="123"/>
        <v>6.8675000000000042E-2</v>
      </c>
      <c r="AV21" s="4">
        <f t="shared" si="123"/>
        <v>7.8685000000000144E-2</v>
      </c>
      <c r="AW21" s="4">
        <f t="shared" si="123"/>
        <v>7.8685000000000033E-2</v>
      </c>
      <c r="AX21" s="4">
        <f t="shared" si="123"/>
        <v>0.31433500000000014</v>
      </c>
      <c r="AY21" s="4">
        <f t="shared" si="123"/>
        <v>8.0720500000000098E-2</v>
      </c>
      <c r="AZ21" s="4">
        <f t="shared" si="123"/>
        <v>9.0730500000000006E-2</v>
      </c>
      <c r="BA21" s="4">
        <f t="shared" si="123"/>
        <v>9.0730500000000144E-2</v>
      </c>
      <c r="BB21" s="4">
        <f t="shared" si="123"/>
        <v>0.32638050000000018</v>
      </c>
      <c r="BC21" s="4">
        <f t="shared" si="123"/>
        <v>9.2766000000000154E-2</v>
      </c>
      <c r="BD21" s="4">
        <f t="shared" si="123"/>
        <v>0.10277600000000017</v>
      </c>
      <c r="BE21" s="4">
        <f t="shared" si="123"/>
        <v>0.10277600000000012</v>
      </c>
      <c r="BF21" s="4">
        <f t="shared" si="123"/>
        <v>0.33842600000000012</v>
      </c>
      <c r="BG21" s="1" t="s">
        <v>7</v>
      </c>
      <c r="BH21" s="7" t="s">
        <v>6</v>
      </c>
      <c r="BI21" s="73">
        <f t="shared" ref="BI21:BV21" si="124">BI20/BI7</f>
        <v>-0.29170649590146602</v>
      </c>
      <c r="BJ21" s="73">
        <f t="shared" si="124"/>
        <v>-9.8846192514670625E-2</v>
      </c>
      <c r="BK21" s="73">
        <f t="shared" si="124"/>
        <v>-1.0920737108849989</v>
      </c>
      <c r="BL21" s="73">
        <f t="shared" si="124"/>
        <v>-0.16829882370437643</v>
      </c>
      <c r="BM21" s="73">
        <f t="shared" si="124"/>
        <v>-8.9929533222155147E-2</v>
      </c>
      <c r="BN21" s="73">
        <f t="shared" si="124"/>
        <v>-3.287694671903383E-2</v>
      </c>
      <c r="BO21" s="73">
        <f t="shared" si="124"/>
        <v>5.4628943391092422E-2</v>
      </c>
      <c r="BP21" s="73">
        <f t="shared" si="124"/>
        <v>8.5395735542534518E-2</v>
      </c>
      <c r="BQ21" s="73">
        <f t="shared" si="124"/>
        <v>0.11009535692399811</v>
      </c>
      <c r="BR21" s="73">
        <f t="shared" si="124"/>
        <v>0.12150247137179007</v>
      </c>
      <c r="BS21" s="73">
        <f t="shared" si="124"/>
        <v>0.13307961729023463</v>
      </c>
      <c r="BT21" s="73">
        <f t="shared" si="124"/>
        <v>0.14480560092724368</v>
      </c>
      <c r="BU21" s="73">
        <f t="shared" si="124"/>
        <v>0.15661563895840627</v>
      </c>
      <c r="BV21" s="73">
        <f t="shared" si="124"/>
        <v>0.16869943923111755</v>
      </c>
    </row>
    <row r="22" spans="2:74" ht="20.05" customHeight="1" x14ac:dyDescent="0.4">
      <c r="B22" s="25" t="s">
        <v>70</v>
      </c>
      <c r="C22" s="12">
        <v>4159</v>
      </c>
      <c r="D22" s="12">
        <v>4138</v>
      </c>
      <c r="E22" s="12">
        <v>3920</v>
      </c>
      <c r="F22" s="12">
        <v>3918</v>
      </c>
      <c r="G22" s="12">
        <v>4787</v>
      </c>
      <c r="H22" s="12">
        <v>5511</v>
      </c>
      <c r="I22" s="12">
        <v>5117</v>
      </c>
      <c r="J22" s="12">
        <v>5444</v>
      </c>
      <c r="K22" s="12">
        <v>5696</v>
      </c>
      <c r="L22" s="12">
        <v>6507</v>
      </c>
      <c r="M22" s="56">
        <f t="shared" ref="M22:BF22" si="125">M7*M93</f>
        <v>8079.75</v>
      </c>
      <c r="N22" s="12">
        <f t="shared" si="125"/>
        <v>10660.5</v>
      </c>
      <c r="O22" s="12">
        <f t="shared" si="125"/>
        <v>8323</v>
      </c>
      <c r="P22" s="12">
        <f t="shared" si="125"/>
        <v>10444.125</v>
      </c>
      <c r="Q22" s="12">
        <f t="shared" si="125"/>
        <v>12261.750000000002</v>
      </c>
      <c r="R22" s="12">
        <f t="shared" si="125"/>
        <v>15493.125</v>
      </c>
      <c r="S22" s="12">
        <f t="shared" si="125"/>
        <v>12793</v>
      </c>
      <c r="T22" s="12">
        <f t="shared" si="125"/>
        <v>15710.75</v>
      </c>
      <c r="U22" s="12">
        <f t="shared" si="125"/>
        <v>18061.875</v>
      </c>
      <c r="V22" s="12">
        <f t="shared" si="125"/>
        <v>21980.5</v>
      </c>
      <c r="W22" s="12">
        <f t="shared" si="125"/>
        <v>18398.5625</v>
      </c>
      <c r="X22" s="12">
        <f t="shared" si="125"/>
        <v>22159.6875</v>
      </c>
      <c r="Y22" s="12">
        <f t="shared" si="125"/>
        <v>25042.5</v>
      </c>
      <c r="Z22" s="12">
        <f t="shared" si="125"/>
        <v>29656.0625</v>
      </c>
      <c r="AA22" s="12">
        <f t="shared" si="125"/>
        <v>25063.5</v>
      </c>
      <c r="AB22" s="12">
        <f t="shared" si="125"/>
        <v>29702</v>
      </c>
      <c r="AC22" s="12">
        <f t="shared" si="125"/>
        <v>33122.125</v>
      </c>
      <c r="AD22" s="12">
        <f t="shared" si="125"/>
        <v>38441.875</v>
      </c>
      <c r="AE22" s="12">
        <f t="shared" si="125"/>
        <v>32556.3125</v>
      </c>
      <c r="AF22" s="12">
        <f t="shared" si="125"/>
        <v>38084.9375</v>
      </c>
      <c r="AG22" s="12">
        <f t="shared" si="125"/>
        <v>42034.875</v>
      </c>
      <c r="AH22" s="12">
        <f t="shared" si="125"/>
        <v>48055.0625</v>
      </c>
      <c r="AI22" s="12">
        <f t="shared" si="125"/>
        <v>40503.5625</v>
      </c>
      <c r="AJ22" s="12">
        <f t="shared" si="125"/>
        <v>46970.25</v>
      </c>
      <c r="AK22" s="12">
        <f t="shared" si="125"/>
        <v>51485.625</v>
      </c>
      <c r="AL22" s="12">
        <f t="shared" si="125"/>
        <v>58248.25</v>
      </c>
      <c r="AM22" s="12">
        <f t="shared" si="125"/>
        <v>48821.500000000007</v>
      </c>
      <c r="AN22" s="12">
        <f t="shared" si="125"/>
        <v>56264.531249999993</v>
      </c>
      <c r="AO22" s="12">
        <f t="shared" si="125"/>
        <v>61365.4375</v>
      </c>
      <c r="AP22" s="12">
        <f t="shared" si="125"/>
        <v>68896.59375</v>
      </c>
      <c r="AQ22" s="12">
        <f t="shared" si="125"/>
        <v>57288.59375</v>
      </c>
      <c r="AR22" s="12">
        <f t="shared" si="125"/>
        <v>65734.40625</v>
      </c>
      <c r="AS22" s="12">
        <f t="shared" si="125"/>
        <v>71428.40625</v>
      </c>
      <c r="AT22" s="12">
        <f t="shared" si="125"/>
        <v>79740.21875</v>
      </c>
      <c r="AU22" s="12">
        <f t="shared" si="125"/>
        <v>65775.96875</v>
      </c>
      <c r="AV22" s="12">
        <f t="shared" si="125"/>
        <v>75275.46875</v>
      </c>
      <c r="AW22" s="12">
        <f t="shared" si="125"/>
        <v>81590.531250000015</v>
      </c>
      <c r="AX22" s="12">
        <f t="shared" si="125"/>
        <v>90719.59375</v>
      </c>
      <c r="AY22" s="12">
        <f t="shared" si="125"/>
        <v>74309.21875</v>
      </c>
      <c r="AZ22" s="12">
        <f t="shared" si="125"/>
        <v>84902.156250000015</v>
      </c>
      <c r="BA22" s="12">
        <f t="shared" si="125"/>
        <v>91850.65625</v>
      </c>
      <c r="BB22" s="12">
        <f t="shared" si="125"/>
        <v>101817.84375</v>
      </c>
      <c r="BC22" s="12">
        <f t="shared" si="125"/>
        <v>80519.28125</v>
      </c>
      <c r="BD22" s="12">
        <f t="shared" si="125"/>
        <v>92237.90625</v>
      </c>
      <c r="BE22" s="12">
        <f t="shared" si="125"/>
        <v>99811.59375</v>
      </c>
      <c r="BF22" s="12">
        <f t="shared" si="125"/>
        <v>110617.15625</v>
      </c>
      <c r="BG22" s="1" t="s">
        <v>7</v>
      </c>
      <c r="BH22" s="25" t="s">
        <v>70</v>
      </c>
      <c r="BI22" s="84">
        <f t="shared" ref="BI22:BV26" si="126">SUMIF($C$4:$BF$4,BI$5,$C22:$BF22)</f>
        <v>16135</v>
      </c>
      <c r="BJ22" s="84">
        <f t="shared" si="126"/>
        <v>20859</v>
      </c>
      <c r="BK22" s="84">
        <f t="shared" si="126"/>
        <v>30943.25</v>
      </c>
      <c r="BL22" s="84">
        <f t="shared" si="126"/>
        <v>46522</v>
      </c>
      <c r="BM22" s="84">
        <f t="shared" si="126"/>
        <v>68546.125</v>
      </c>
      <c r="BN22" s="84">
        <f t="shared" si="126"/>
        <v>95256.8125</v>
      </c>
      <c r="BO22" s="84">
        <f t="shared" si="126"/>
        <v>126329.5</v>
      </c>
      <c r="BP22" s="84">
        <f t="shared" si="126"/>
        <v>160731.1875</v>
      </c>
      <c r="BQ22" s="84">
        <f t="shared" si="126"/>
        <v>197207.6875</v>
      </c>
      <c r="BR22" s="84">
        <f t="shared" si="126"/>
        <v>235348.0625</v>
      </c>
      <c r="BS22" s="84">
        <f t="shared" si="126"/>
        <v>274191.625</v>
      </c>
      <c r="BT22" s="84">
        <f t="shared" si="126"/>
        <v>313361.5625</v>
      </c>
      <c r="BU22" s="84">
        <f t="shared" si="126"/>
        <v>352879.875</v>
      </c>
      <c r="BV22" s="84">
        <f t="shared" si="126"/>
        <v>383185.9375</v>
      </c>
    </row>
    <row r="23" spans="2:74" ht="20.05" customHeight="1" x14ac:dyDescent="0.4">
      <c r="B23" s="68" t="s">
        <v>214</v>
      </c>
      <c r="C23" s="69">
        <f>C20+C22</f>
        <v>-58841</v>
      </c>
      <c r="D23" s="69">
        <f t="shared" ref="D23:K23" si="127">D20+D22</f>
        <v>-34250</v>
      </c>
      <c r="E23" s="69">
        <f t="shared" si="127"/>
        <v>-34137</v>
      </c>
      <c r="F23" s="69">
        <f t="shared" si="127"/>
        <v>5429</v>
      </c>
      <c r="G23" s="69">
        <f t="shared" si="127"/>
        <v>-50195</v>
      </c>
      <c r="H23" s="69">
        <f t="shared" si="127"/>
        <v>-35857</v>
      </c>
      <c r="I23" s="69">
        <f t="shared" si="127"/>
        <v>-17314</v>
      </c>
      <c r="J23" s="69">
        <f t="shared" si="127"/>
        <v>49504</v>
      </c>
      <c r="K23" s="69">
        <f t="shared" si="127"/>
        <v>-39130</v>
      </c>
      <c r="L23" s="69">
        <f t="shared" ref="L23" si="128">L20+L22</f>
        <v>-1160636</v>
      </c>
      <c r="M23" s="306">
        <f t="shared" ref="M23" si="129">M20+M22</f>
        <v>-95865.182550000012</v>
      </c>
      <c r="N23" s="69">
        <f t="shared" ref="N23" si="130">N20+N22</f>
        <v>2140.1982000000062</v>
      </c>
      <c r="O23" s="69">
        <f t="shared" ref="O23" si="131">O20+O22</f>
        <v>-93731.563720000006</v>
      </c>
      <c r="P23" s="69">
        <f t="shared" ref="P23" si="132">P20+P22</f>
        <v>-99560.68246500002</v>
      </c>
      <c r="Q23" s="69">
        <f t="shared" ref="Q23" si="133">Q20+Q22</f>
        <v>-107411.44107</v>
      </c>
      <c r="R23" s="69">
        <f t="shared" ref="R23" si="134">R20+R22</f>
        <v>34041.772200000029</v>
      </c>
      <c r="S23" s="69">
        <f t="shared" ref="S23" si="135">S20+S22</f>
        <v>-90688.731100000005</v>
      </c>
      <c r="T23" s="69">
        <f t="shared" ref="T23" si="136">T20+T22</f>
        <v>-92663.25722499995</v>
      </c>
      <c r="U23" s="69">
        <f t="shared" ref="U23" si="137">U20+U22</f>
        <v>-98381.898562499991</v>
      </c>
      <c r="V23" s="69">
        <f t="shared" ref="V23" si="138">V20+V22</f>
        <v>103707.17086999996</v>
      </c>
      <c r="W23" s="69">
        <f t="shared" ref="W23" si="139">W20+W22</f>
        <v>-79270.396754999936</v>
      </c>
      <c r="X23" s="69">
        <f t="shared" ref="X23" si="140">X20+X22</f>
        <v>-75471.56594999996</v>
      </c>
      <c r="Y23" s="69">
        <f t="shared" ref="Y23" si="141">Y20+Y22</f>
        <v>-78206.317199999918</v>
      </c>
      <c r="Z23" s="69">
        <f t="shared" ref="Z23" si="142">Z20+Z22</f>
        <v>202934.9664375</v>
      </c>
      <c r="AA23" s="69">
        <f t="shared" ref="AA23" si="143">AA20+AA22</f>
        <v>-1641.1579799999017</v>
      </c>
      <c r="AB23" s="69">
        <f t="shared" ref="AB23" si="144">AB20+AB22</f>
        <v>9947.7938400001294</v>
      </c>
      <c r="AC23" s="69">
        <f t="shared" ref="AC23" si="145">AC20+AC22</f>
        <v>11093.262105000133</v>
      </c>
      <c r="AD23" s="69">
        <f t="shared" ref="AD23" si="146">AD20+AD22</f>
        <v>382979.48620000004</v>
      </c>
      <c r="AE23" s="69">
        <f t="shared" ref="AE23" si="147">AE20+AE22</f>
        <v>39656.193130000203</v>
      </c>
      <c r="AF23" s="69">
        <f t="shared" ref="AF23" si="148">AF20+AF22</f>
        <v>61639.709645000316</v>
      </c>
      <c r="AG23" s="69">
        <f t="shared" ref="AG23" si="149">AG20+AG22</f>
        <v>68032.604490000202</v>
      </c>
      <c r="AH23" s="69">
        <f t="shared" ref="AH23" si="150">AH20+AH22</f>
        <v>540432.99948250037</v>
      </c>
      <c r="AI23" s="69">
        <f t="shared" ref="AI23" si="151">AI20+AI22</f>
        <v>93220.569236250245</v>
      </c>
      <c r="AJ23" s="69">
        <f t="shared" ref="AJ23" si="152">AJ20+AJ22</f>
        <v>126910.79728500042</v>
      </c>
      <c r="AK23" s="69">
        <f t="shared" ref="AK23" si="153">AK20+AK22</f>
        <v>139111.06961250032</v>
      </c>
      <c r="AL23" s="69">
        <f t="shared" ref="AL23" si="154">AL20+AL22</f>
        <v>706431.28110500029</v>
      </c>
      <c r="AM23" s="69">
        <f t="shared" ref="AM23" si="155">AM20+AM22</f>
        <v>135887.81024000008</v>
      </c>
      <c r="AN23" s="69">
        <f t="shared" ref="AN23" si="156">AN20+AN22</f>
        <v>179132.76401250009</v>
      </c>
      <c r="AO23" s="69">
        <f t="shared" ref="AO23" si="157">AO20+AO22</f>
        <v>195372.82529500016</v>
      </c>
      <c r="AP23" s="69">
        <f t="shared" ref="AP23" si="158">AP20+AP22</f>
        <v>868769.51200500014</v>
      </c>
      <c r="AQ23" s="69">
        <f t="shared" ref="AQ23" si="159">AQ20+AQ22</f>
        <v>187057.57054062537</v>
      </c>
      <c r="AR23" s="69">
        <f t="shared" ref="AR23" si="160">AR20+AR22</f>
        <v>240954.72486187509</v>
      </c>
      <c r="AS23" s="69">
        <f t="shared" ref="AS23" si="161">AS20+AS22</f>
        <v>261826.53738187536</v>
      </c>
      <c r="AT23" s="69">
        <f t="shared" ref="AT23" si="162">AT20+AT22</f>
        <v>1043925.4529831253</v>
      </c>
      <c r="AU23" s="69">
        <f t="shared" ref="AU23" si="163">AU20+AU22</f>
        <v>246462.55490625012</v>
      </c>
      <c r="AV23" s="69">
        <f t="shared" ref="AV23" si="164">AV20+AV22</f>
        <v>312197.47909375047</v>
      </c>
      <c r="AW23" s="69">
        <f t="shared" ref="AW23" si="165">AW20+AW22</f>
        <v>338388.56930625014</v>
      </c>
      <c r="AX23" s="69">
        <f t="shared" ref="AX23" si="166">AX20+AX22</f>
        <v>1231373.3338062505</v>
      </c>
      <c r="AY23" s="69">
        <f t="shared" ref="AY23" si="167">AY20+AY22</f>
        <v>314240.31043437531</v>
      </c>
      <c r="AZ23" s="69">
        <f t="shared" ref="AZ23" si="168">AZ20+AZ22</f>
        <v>393030.75975562504</v>
      </c>
      <c r="BA23" s="69">
        <f t="shared" ref="BA23" si="169">BA20+BA22</f>
        <v>425196.89492562553</v>
      </c>
      <c r="BB23" s="69">
        <f t="shared" ref="BB23" si="170">BB20+BB22</f>
        <v>1431072.1938318757</v>
      </c>
      <c r="BC23" s="69">
        <f t="shared" ref="BC23" si="171">BC20+BC22</f>
        <v>379297.34702750051</v>
      </c>
      <c r="BD23" s="69">
        <f t="shared" ref="BD23" si="172">BD20+BD22</f>
        <v>471431.62836000061</v>
      </c>
      <c r="BE23" s="69">
        <f t="shared" ref="BE23" si="173">BE20+BE22</f>
        <v>510141.04812000046</v>
      </c>
      <c r="BF23" s="69">
        <f t="shared" ref="BF23" si="174">BF20+BF22</f>
        <v>1608046.0250925005</v>
      </c>
      <c r="BG23" s="1" t="s">
        <v>7</v>
      </c>
      <c r="BH23" s="68" t="s">
        <v>214</v>
      </c>
      <c r="BI23" s="179">
        <f t="shared" si="126"/>
        <v>-121799</v>
      </c>
      <c r="BJ23" s="179">
        <f t="shared" si="126"/>
        <v>-53862</v>
      </c>
      <c r="BK23" s="179">
        <f t="shared" si="126"/>
        <v>-1293490.98435</v>
      </c>
      <c r="BL23" s="179">
        <f t="shared" si="126"/>
        <v>-266661.91505499999</v>
      </c>
      <c r="BM23" s="179">
        <f t="shared" si="126"/>
        <v>-178026.71601749997</v>
      </c>
      <c r="BN23" s="179">
        <f t="shared" si="126"/>
        <v>-30013.313467499829</v>
      </c>
      <c r="BO23" s="179">
        <f t="shared" si="126"/>
        <v>402379.3841650004</v>
      </c>
      <c r="BP23" s="179">
        <f t="shared" si="126"/>
        <v>709761.50674750109</v>
      </c>
      <c r="BQ23" s="179">
        <f t="shared" si="126"/>
        <v>1065673.7172387512</v>
      </c>
      <c r="BR23" s="179">
        <f t="shared" si="126"/>
        <v>1379162.9115525004</v>
      </c>
      <c r="BS23" s="179">
        <f t="shared" si="126"/>
        <v>1733764.2857675012</v>
      </c>
      <c r="BT23" s="179">
        <f t="shared" si="126"/>
        <v>2128421.9371125009</v>
      </c>
      <c r="BU23" s="179">
        <f t="shared" si="126"/>
        <v>2563540.1589475013</v>
      </c>
      <c r="BV23" s="179">
        <f t="shared" si="126"/>
        <v>2968916.0486000022</v>
      </c>
    </row>
    <row r="24" spans="2:74" ht="20.05" customHeight="1" x14ac:dyDescent="0.4">
      <c r="B24" s="256" t="s">
        <v>213</v>
      </c>
      <c r="C24" s="22">
        <f>C23/C7</f>
        <v>-0.71387321807703974</v>
      </c>
      <c r="D24" s="22">
        <f t="shared" ref="D24:BF24" si="175">D23/D7</f>
        <v>-0.33867969306225776</v>
      </c>
      <c r="E24" s="22">
        <f t="shared" si="175"/>
        <v>-0.29440376704354349</v>
      </c>
      <c r="F24" s="22">
        <f t="shared" si="175"/>
        <v>3.1318865159853701E-2</v>
      </c>
      <c r="G24" s="22">
        <f t="shared" si="175"/>
        <v>-0.38212075305079973</v>
      </c>
      <c r="H24" s="22">
        <f t="shared" si="175"/>
        <v>-0.2224490049133952</v>
      </c>
      <c r="I24" s="22">
        <f t="shared" si="175"/>
        <v>-9.1031930051472948E-2</v>
      </c>
      <c r="J24" s="22">
        <f t="shared" si="175"/>
        <v>0.1812111983132248</v>
      </c>
      <c r="K24" s="22">
        <f t="shared" si="175"/>
        <v>-0.19379825764817171</v>
      </c>
      <c r="L24" s="22">
        <f t="shared" si="175"/>
        <v>-4.4426428426520292</v>
      </c>
      <c r="M24" s="50">
        <f t="shared" si="175"/>
        <v>-0.2966217474241159</v>
      </c>
      <c r="N24" s="22">
        <f t="shared" si="175"/>
        <v>5.0189911355002252E-3</v>
      </c>
      <c r="O24" s="22">
        <f t="shared" si="175"/>
        <v>-0.28154380547879371</v>
      </c>
      <c r="P24" s="22">
        <f t="shared" si="175"/>
        <v>-0.23831743316218454</v>
      </c>
      <c r="Q24" s="22">
        <f t="shared" si="175"/>
        <v>-0.21899696427916079</v>
      </c>
      <c r="R24" s="22">
        <f t="shared" si="175"/>
        <v>5.4930448505385497E-2</v>
      </c>
      <c r="S24" s="22">
        <f t="shared" si="175"/>
        <v>-0.17722334694754946</v>
      </c>
      <c r="T24" s="22">
        <f t="shared" si="175"/>
        <v>-0.14745199501137748</v>
      </c>
      <c r="U24" s="22">
        <f t="shared" si="175"/>
        <v>-0.13617342961694176</v>
      </c>
      <c r="V24" s="22">
        <f t="shared" si="175"/>
        <v>0.11795360759536858</v>
      </c>
      <c r="W24" s="22">
        <f t="shared" si="175"/>
        <v>-0.10771275847637544</v>
      </c>
      <c r="X24" s="22">
        <f t="shared" si="175"/>
        <v>-8.514511536997077E-2</v>
      </c>
      <c r="Y24" s="22">
        <f t="shared" si="175"/>
        <v>-7.8073592093441072E-2</v>
      </c>
      <c r="Z24" s="22">
        <f t="shared" si="175"/>
        <v>0.17107376142525663</v>
      </c>
      <c r="AA24" s="22">
        <f t="shared" si="175"/>
        <v>-1.636999999999902E-3</v>
      </c>
      <c r="AB24" s="22">
        <f t="shared" si="175"/>
        <v>8.3730000000001095E-3</v>
      </c>
      <c r="AC24" s="22">
        <f t="shared" si="175"/>
        <v>8.3730000000001008E-3</v>
      </c>
      <c r="AD24" s="22">
        <f t="shared" si="175"/>
        <v>0.24906400000000004</v>
      </c>
      <c r="AE24" s="22">
        <f t="shared" si="175"/>
        <v>3.0452000000000156E-2</v>
      </c>
      <c r="AF24" s="22">
        <f t="shared" si="175"/>
        <v>4.0462000000000206E-2</v>
      </c>
      <c r="AG24" s="22">
        <f t="shared" si="175"/>
        <v>4.0462000000000123E-2</v>
      </c>
      <c r="AH24" s="22">
        <f t="shared" si="175"/>
        <v>0.28115300000000021</v>
      </c>
      <c r="AI24" s="22">
        <f t="shared" si="175"/>
        <v>5.7538500000000152E-2</v>
      </c>
      <c r="AJ24" s="22">
        <f t="shared" si="175"/>
        <v>6.7548500000000219E-2</v>
      </c>
      <c r="AK24" s="22">
        <f t="shared" si="175"/>
        <v>6.7548500000000164E-2</v>
      </c>
      <c r="AL24" s="22">
        <f t="shared" si="175"/>
        <v>0.30319850000000015</v>
      </c>
      <c r="AM24" s="22">
        <f t="shared" si="175"/>
        <v>6.9584000000000035E-2</v>
      </c>
      <c r="AN24" s="22">
        <f t="shared" si="175"/>
        <v>7.9594000000000054E-2</v>
      </c>
      <c r="AO24" s="22">
        <f t="shared" si="175"/>
        <v>7.9594000000000067E-2</v>
      </c>
      <c r="AP24" s="22">
        <f t="shared" si="175"/>
        <v>0.31524400000000002</v>
      </c>
      <c r="AQ24" s="22">
        <f t="shared" si="175"/>
        <v>8.162950000000016E-2</v>
      </c>
      <c r="AR24" s="22">
        <f t="shared" si="175"/>
        <v>9.163950000000004E-2</v>
      </c>
      <c r="AS24" s="22">
        <f t="shared" si="175"/>
        <v>9.1639500000000124E-2</v>
      </c>
      <c r="AT24" s="22">
        <f t="shared" si="175"/>
        <v>0.32728950000000012</v>
      </c>
      <c r="AU24" s="22">
        <f t="shared" si="175"/>
        <v>9.367500000000005E-2</v>
      </c>
      <c r="AV24" s="22">
        <f t="shared" si="175"/>
        <v>0.10368500000000015</v>
      </c>
      <c r="AW24" s="22">
        <f t="shared" si="175"/>
        <v>0.10368500000000003</v>
      </c>
      <c r="AX24" s="22">
        <f t="shared" si="175"/>
        <v>0.33933500000000011</v>
      </c>
      <c r="AY24" s="22">
        <f t="shared" si="175"/>
        <v>0.10572050000000011</v>
      </c>
      <c r="AZ24" s="22">
        <f t="shared" si="175"/>
        <v>0.1157305</v>
      </c>
      <c r="BA24" s="22">
        <f t="shared" si="175"/>
        <v>0.11573050000000014</v>
      </c>
      <c r="BB24" s="22">
        <f t="shared" si="175"/>
        <v>0.35138050000000015</v>
      </c>
      <c r="BC24" s="22">
        <f t="shared" si="175"/>
        <v>0.11776600000000016</v>
      </c>
      <c r="BD24" s="22">
        <f t="shared" si="175"/>
        <v>0.12777600000000017</v>
      </c>
      <c r="BE24" s="22">
        <f t="shared" si="175"/>
        <v>0.12777600000000011</v>
      </c>
      <c r="BF24" s="22">
        <f t="shared" si="175"/>
        <v>0.36342600000000014</v>
      </c>
      <c r="BG24" s="2" t="s">
        <v>7</v>
      </c>
      <c r="BH24" s="256" t="s">
        <v>213</v>
      </c>
      <c r="BI24" s="22">
        <f>BI23/BI7</f>
        <v>-0.25758376828267621</v>
      </c>
      <c r="BJ24" s="22">
        <f t="shared" ref="BJ24:BV24" si="176">BJ23/BJ7</f>
        <v>-7.1252440695723951E-2</v>
      </c>
      <c r="BK24" s="22">
        <f t="shared" si="176"/>
        <v>-1.0665591862842914</v>
      </c>
      <c r="BL24" s="22">
        <f t="shared" si="176"/>
        <v>-0.14329882370437641</v>
      </c>
      <c r="BM24" s="22">
        <f t="shared" si="176"/>
        <v>-6.4929533222155139E-2</v>
      </c>
      <c r="BN24" s="22">
        <f t="shared" si="176"/>
        <v>-7.87694671903383E-3</v>
      </c>
      <c r="BO24" s="22">
        <f t="shared" si="176"/>
        <v>7.9628943391092416E-2</v>
      </c>
      <c r="BP24" s="22">
        <f t="shared" si="176"/>
        <v>0.1103957355425345</v>
      </c>
      <c r="BQ24" s="22">
        <f t="shared" si="176"/>
        <v>0.1350953569239981</v>
      </c>
      <c r="BR24" s="22">
        <f t="shared" si="176"/>
        <v>0.14650247137179007</v>
      </c>
      <c r="BS24" s="22">
        <f t="shared" si="176"/>
        <v>0.15807961729023462</v>
      </c>
      <c r="BT24" s="22">
        <f t="shared" si="176"/>
        <v>0.16980560092724367</v>
      </c>
      <c r="BU24" s="22">
        <f t="shared" si="176"/>
        <v>0.18161563895840627</v>
      </c>
      <c r="BV24" s="22">
        <f t="shared" si="176"/>
        <v>0.19369943923111754</v>
      </c>
    </row>
    <row r="25" spans="2:74" ht="20.05" customHeight="1" x14ac:dyDescent="0.4">
      <c r="B25" s="25" t="s">
        <v>19</v>
      </c>
      <c r="C25" s="12">
        <v>7575</v>
      </c>
      <c r="D25" s="12">
        <v>7294</v>
      </c>
      <c r="E25" s="12">
        <v>7273</v>
      </c>
      <c r="F25" s="12">
        <v>6662</v>
      </c>
      <c r="G25" s="12">
        <v>4834</v>
      </c>
      <c r="H25" s="12">
        <v>3959</v>
      </c>
      <c r="I25" s="12">
        <v>3888</v>
      </c>
      <c r="J25" s="12">
        <v>2178</v>
      </c>
      <c r="K25" s="12">
        <v>694</v>
      </c>
      <c r="L25" s="12">
        <v>1134599</v>
      </c>
      <c r="M25" s="56">
        <f>M132</f>
        <v>55489.055849999997</v>
      </c>
      <c r="N25" s="12">
        <f t="shared" ref="N25:BF25" si="177">N132</f>
        <v>55447.822800000002</v>
      </c>
      <c r="O25" s="12">
        <f t="shared" si="177"/>
        <v>55469.068120000004</v>
      </c>
      <c r="P25" s="12">
        <f t="shared" si="177"/>
        <v>55724.601015</v>
      </c>
      <c r="Q25" s="12">
        <f t="shared" si="177"/>
        <v>55946.423970000003</v>
      </c>
      <c r="R25" s="12">
        <f t="shared" si="177"/>
        <v>55849.339050000002</v>
      </c>
      <c r="S25" s="12">
        <f t="shared" si="177"/>
        <v>55926.568059999998</v>
      </c>
      <c r="T25" s="12">
        <f t="shared" si="177"/>
        <v>56257.050465</v>
      </c>
      <c r="U25" s="12">
        <f t="shared" si="177"/>
        <v>56527.4768625</v>
      </c>
      <c r="V25" s="12">
        <f t="shared" si="177"/>
        <v>56353.071689999997</v>
      </c>
      <c r="W25" s="12">
        <f t="shared" si="177"/>
        <v>56504.751459999999</v>
      </c>
      <c r="X25" s="12">
        <f t="shared" si="177"/>
        <v>56915.930025000001</v>
      </c>
      <c r="Y25" s="12">
        <f t="shared" si="177"/>
        <v>57236.729399999997</v>
      </c>
      <c r="Z25" s="12">
        <f t="shared" si="177"/>
        <v>56906.708217500003</v>
      </c>
      <c r="AA25" s="12">
        <f t="shared" si="177"/>
        <v>2707.8605400000006</v>
      </c>
      <c r="AB25" s="12">
        <f t="shared" si="177"/>
        <v>3197.1232799999998</v>
      </c>
      <c r="AC25" s="12">
        <f t="shared" si="177"/>
        <v>3565.265535</v>
      </c>
      <c r="AD25" s="12">
        <f t="shared" si="177"/>
        <v>3044.5965000000001</v>
      </c>
      <c r="AE25" s="12">
        <f t="shared" si="177"/>
        <v>3398.8790250000002</v>
      </c>
      <c r="AF25" s="12">
        <f t="shared" si="177"/>
        <v>3960.8334999999997</v>
      </c>
      <c r="AG25" s="12">
        <f t="shared" si="177"/>
        <v>4371.6269999999995</v>
      </c>
      <c r="AH25" s="12">
        <f t="shared" si="177"/>
        <v>3631.0405225</v>
      </c>
      <c r="AI25" s="12">
        <f t="shared" si="177"/>
        <v>4085.1893137499997</v>
      </c>
      <c r="AJ25" s="12">
        <f t="shared" si="177"/>
        <v>4718.6313149999996</v>
      </c>
      <c r="AK25" s="12">
        <f t="shared" si="177"/>
        <v>5172.2458874999993</v>
      </c>
      <c r="AL25" s="12">
        <f t="shared" si="177"/>
        <v>4290.5660950000001</v>
      </c>
      <c r="AM25" s="12">
        <f t="shared" si="177"/>
        <v>4835.2813599999999</v>
      </c>
      <c r="AN25" s="12">
        <f t="shared" si="177"/>
        <v>5549.933362499999</v>
      </c>
      <c r="AO25" s="12">
        <f t="shared" si="177"/>
        <v>6053.0867549999994</v>
      </c>
      <c r="AP25" s="12">
        <f t="shared" si="177"/>
        <v>4949.5312949999998</v>
      </c>
      <c r="AQ25" s="12">
        <f t="shared" si="177"/>
        <v>5569.5970843749992</v>
      </c>
      <c r="AR25" s="12">
        <f t="shared" si="177"/>
        <v>6364.4052131249991</v>
      </c>
      <c r="AS25" s="12">
        <f t="shared" si="177"/>
        <v>6915.6982931249995</v>
      </c>
      <c r="AT25" s="12">
        <f t="shared" si="177"/>
        <v>5583.4101168749994</v>
      </c>
      <c r="AU25" s="12">
        <f t="shared" si="177"/>
        <v>6275.027418749999</v>
      </c>
      <c r="AV25" s="12">
        <f t="shared" si="177"/>
        <v>7151.1695312499996</v>
      </c>
      <c r="AW25" s="12">
        <f t="shared" si="177"/>
        <v>7751.1004687500008</v>
      </c>
      <c r="AX25" s="12">
        <f t="shared" si="177"/>
        <v>6187.0762937499994</v>
      </c>
      <c r="AY25" s="12">
        <f t="shared" si="177"/>
        <v>6953.8566906249989</v>
      </c>
      <c r="AZ25" s="12">
        <f t="shared" si="177"/>
        <v>7911.1829193750009</v>
      </c>
      <c r="BA25" s="12">
        <f t="shared" si="177"/>
        <v>8558.6441493749971</v>
      </c>
      <c r="BB25" s="12">
        <f t="shared" si="177"/>
        <v>6758.668468124999</v>
      </c>
      <c r="BC25" s="12">
        <f t="shared" si="177"/>
        <v>7388.4492474999997</v>
      </c>
      <c r="BD25" s="12">
        <f t="shared" si="177"/>
        <v>8426.8551149999985</v>
      </c>
      <c r="BE25" s="12">
        <f t="shared" si="177"/>
        <v>9118.7872049999987</v>
      </c>
      <c r="BF25" s="12">
        <f t="shared" si="177"/>
        <v>7141.4436074999985</v>
      </c>
      <c r="BG25" s="1" t="s">
        <v>7</v>
      </c>
      <c r="BH25" s="25" t="s">
        <v>19</v>
      </c>
      <c r="BI25" s="84">
        <f t="shared" si="126"/>
        <v>28804</v>
      </c>
      <c r="BJ25" s="84">
        <f t="shared" si="126"/>
        <v>14859</v>
      </c>
      <c r="BK25" s="84">
        <f t="shared" si="126"/>
        <v>1246229.8786499999</v>
      </c>
      <c r="BL25" s="84">
        <f t="shared" si="126"/>
        <v>222989.43215500002</v>
      </c>
      <c r="BM25" s="84">
        <f t="shared" si="126"/>
        <v>225064.16707750002</v>
      </c>
      <c r="BN25" s="84">
        <f t="shared" si="126"/>
        <v>227564.11910250003</v>
      </c>
      <c r="BO25" s="84">
        <f t="shared" si="126"/>
        <v>12514.845855</v>
      </c>
      <c r="BP25" s="84">
        <f t="shared" si="126"/>
        <v>15362.380047499999</v>
      </c>
      <c r="BQ25" s="84">
        <f t="shared" si="126"/>
        <v>18266.632611249999</v>
      </c>
      <c r="BR25" s="84">
        <f t="shared" si="126"/>
        <v>21387.832772499998</v>
      </c>
      <c r="BS25" s="84">
        <f t="shared" si="126"/>
        <v>24433.110707499996</v>
      </c>
      <c r="BT25" s="84">
        <f t="shared" si="126"/>
        <v>27364.373712500001</v>
      </c>
      <c r="BU25" s="84">
        <f t="shared" si="126"/>
        <v>30182.352227499992</v>
      </c>
      <c r="BV25" s="84">
        <f t="shared" si="126"/>
        <v>32075.535174999997</v>
      </c>
    </row>
    <row r="26" spans="2:74" ht="20.05" customHeight="1" x14ac:dyDescent="0.4">
      <c r="B26" s="68" t="s">
        <v>20</v>
      </c>
      <c r="C26" s="69">
        <v>-51266</v>
      </c>
      <c r="D26" s="69">
        <v>-26956</v>
      </c>
      <c r="E26" s="69">
        <v>-26864</v>
      </c>
      <c r="F26" s="69">
        <v>12091</v>
      </c>
      <c r="G26" s="69">
        <v>-45361</v>
      </c>
      <c r="H26" s="69">
        <v>-31898</v>
      </c>
      <c r="I26" s="69">
        <v>-13426</v>
      </c>
      <c r="J26" s="69">
        <v>51682</v>
      </c>
      <c r="K26" s="69">
        <v>-38436</v>
      </c>
      <c r="L26" s="69">
        <v>-26037</v>
      </c>
      <c r="M26" s="189">
        <f>M25+M20+M22</f>
        <v>-40376.126700000015</v>
      </c>
      <c r="N26" s="83">
        <f>N25+N20+N22</f>
        <v>57588.021000000008</v>
      </c>
      <c r="O26" s="83">
        <f>O25+O20+O22</f>
        <v>-38262.495600000002</v>
      </c>
      <c r="P26" s="83">
        <f t="shared" ref="P26:BF26" si="178">P25+P20+P22</f>
        <v>-43836.08145000002</v>
      </c>
      <c r="Q26" s="83">
        <f t="shared" si="178"/>
        <v>-51465.017099999997</v>
      </c>
      <c r="R26" s="83">
        <f t="shared" si="178"/>
        <v>89891.111250000031</v>
      </c>
      <c r="S26" s="83">
        <f t="shared" si="178"/>
        <v>-34762.163040000007</v>
      </c>
      <c r="T26" s="83">
        <f t="shared" si="178"/>
        <v>-36406.20675999995</v>
      </c>
      <c r="U26" s="83">
        <f t="shared" si="178"/>
        <v>-41854.421699999992</v>
      </c>
      <c r="V26" s="83">
        <f t="shared" si="178"/>
        <v>160060.24255999996</v>
      </c>
      <c r="W26" s="83">
        <f t="shared" si="178"/>
        <v>-22765.645294999937</v>
      </c>
      <c r="X26" s="83">
        <f t="shared" si="178"/>
        <v>-18555.635924999959</v>
      </c>
      <c r="Y26" s="83">
        <f t="shared" si="178"/>
        <v>-20969.587799999921</v>
      </c>
      <c r="Z26" s="83">
        <f t="shared" si="178"/>
        <v>259841.67465500001</v>
      </c>
      <c r="AA26" s="83">
        <f t="shared" si="178"/>
        <v>1066.7025600000998</v>
      </c>
      <c r="AB26" s="83">
        <f t="shared" si="178"/>
        <v>13144.917120000129</v>
      </c>
      <c r="AC26" s="83">
        <f t="shared" si="178"/>
        <v>14658.527640000131</v>
      </c>
      <c r="AD26" s="83">
        <f t="shared" si="178"/>
        <v>386024.08270000003</v>
      </c>
      <c r="AE26" s="83">
        <f t="shared" si="178"/>
        <v>43055.072155000205</v>
      </c>
      <c r="AF26" s="83">
        <f t="shared" si="178"/>
        <v>65600.543145000323</v>
      </c>
      <c r="AG26" s="83">
        <f t="shared" si="178"/>
        <v>72404.231490000209</v>
      </c>
      <c r="AH26" s="83">
        <f t="shared" si="178"/>
        <v>544064.04000500042</v>
      </c>
      <c r="AI26" s="83">
        <f t="shared" si="178"/>
        <v>97305.758550000246</v>
      </c>
      <c r="AJ26" s="83">
        <f t="shared" si="178"/>
        <v>131629.42860000042</v>
      </c>
      <c r="AK26" s="83">
        <f t="shared" si="178"/>
        <v>144283.31550000032</v>
      </c>
      <c r="AL26" s="83">
        <f t="shared" si="178"/>
        <v>710721.84720000031</v>
      </c>
      <c r="AM26" s="83">
        <f t="shared" si="178"/>
        <v>140723.09160000007</v>
      </c>
      <c r="AN26" s="83">
        <f t="shared" si="178"/>
        <v>184682.69737500008</v>
      </c>
      <c r="AO26" s="83">
        <f t="shared" si="178"/>
        <v>201425.91205000016</v>
      </c>
      <c r="AP26" s="83">
        <f t="shared" si="178"/>
        <v>873719.04330000014</v>
      </c>
      <c r="AQ26" s="83">
        <f t="shared" si="178"/>
        <v>192627.16762500038</v>
      </c>
      <c r="AR26" s="83">
        <f t="shared" si="178"/>
        <v>247319.13007500008</v>
      </c>
      <c r="AS26" s="83">
        <f t="shared" si="178"/>
        <v>268742.23567500035</v>
      </c>
      <c r="AT26" s="83">
        <f t="shared" si="178"/>
        <v>1049508.8631000002</v>
      </c>
      <c r="AU26" s="83">
        <f t="shared" si="178"/>
        <v>252737.58232500011</v>
      </c>
      <c r="AV26" s="83">
        <f t="shared" si="178"/>
        <v>319348.64862500044</v>
      </c>
      <c r="AW26" s="83">
        <f t="shared" si="178"/>
        <v>346139.66977500013</v>
      </c>
      <c r="AX26" s="83">
        <f t="shared" si="178"/>
        <v>1237560.4101000004</v>
      </c>
      <c r="AY26" s="83">
        <f t="shared" si="178"/>
        <v>321194.16712500027</v>
      </c>
      <c r="AZ26" s="83">
        <f t="shared" si="178"/>
        <v>400941.94267500006</v>
      </c>
      <c r="BA26" s="83">
        <f t="shared" si="178"/>
        <v>433755.5390750005</v>
      </c>
      <c r="BB26" s="83">
        <f t="shared" si="178"/>
        <v>1437830.8623000006</v>
      </c>
      <c r="BC26" s="83">
        <f t="shared" si="178"/>
        <v>386685.7962750005</v>
      </c>
      <c r="BD26" s="83">
        <f t="shared" si="178"/>
        <v>479858.4834750006</v>
      </c>
      <c r="BE26" s="83">
        <f t="shared" si="178"/>
        <v>519259.83532500046</v>
      </c>
      <c r="BF26" s="83">
        <f t="shared" si="178"/>
        <v>1615187.4687000006</v>
      </c>
      <c r="BG26" s="1" t="s">
        <v>7</v>
      </c>
      <c r="BH26" s="68" t="s">
        <v>20</v>
      </c>
      <c r="BI26" s="179">
        <f t="shared" si="126"/>
        <v>-92995</v>
      </c>
      <c r="BJ26" s="179">
        <f t="shared" si="126"/>
        <v>-39003</v>
      </c>
      <c r="BK26" s="179">
        <f t="shared" si="126"/>
        <v>-47261.105700000015</v>
      </c>
      <c r="BL26" s="179">
        <f t="shared" si="126"/>
        <v>-43672.482899999988</v>
      </c>
      <c r="BM26" s="179">
        <f t="shared" si="126"/>
        <v>47037.451060000007</v>
      </c>
      <c r="BN26" s="179">
        <f t="shared" si="126"/>
        <v>197550.8056350002</v>
      </c>
      <c r="BO26" s="179">
        <f t="shared" si="126"/>
        <v>414894.23002000037</v>
      </c>
      <c r="BP26" s="179">
        <f t="shared" si="126"/>
        <v>725123.8867950011</v>
      </c>
      <c r="BQ26" s="179">
        <f t="shared" si="126"/>
        <v>1083940.3498500013</v>
      </c>
      <c r="BR26" s="179">
        <f t="shared" si="126"/>
        <v>1400550.7443250003</v>
      </c>
      <c r="BS26" s="179">
        <f t="shared" si="126"/>
        <v>1758197.396475001</v>
      </c>
      <c r="BT26" s="179">
        <f t="shared" si="126"/>
        <v>2155786.3108250014</v>
      </c>
      <c r="BU26" s="179">
        <f t="shared" si="126"/>
        <v>2593722.5111750015</v>
      </c>
      <c r="BV26" s="179">
        <f t="shared" si="126"/>
        <v>3000991.583775002</v>
      </c>
    </row>
    <row r="27" spans="2:74" ht="20.05" customHeight="1" x14ac:dyDescent="0.4">
      <c r="B27" s="7" t="s">
        <v>16</v>
      </c>
      <c r="C27" s="4">
        <f t="shared" ref="C27:AH27" si="179">C26/C7</f>
        <v>-0.62197148923263568</v>
      </c>
      <c r="D27" s="4">
        <f t="shared" si="179"/>
        <v>-0.26655327901273634</v>
      </c>
      <c r="E27" s="4">
        <f t="shared" si="179"/>
        <v>-0.23168007727268808</v>
      </c>
      <c r="F27" s="4">
        <f t="shared" si="179"/>
        <v>6.9750672066272085E-2</v>
      </c>
      <c r="G27" s="4">
        <f t="shared" si="179"/>
        <v>-0.34532083831332455</v>
      </c>
      <c r="H27" s="4">
        <f t="shared" si="179"/>
        <v>-0.19788823266663358</v>
      </c>
      <c r="I27" s="4">
        <f t="shared" si="179"/>
        <v>-7.0589967244488613E-2</v>
      </c>
      <c r="J27" s="4">
        <f t="shared" si="179"/>
        <v>0.18918384678458475</v>
      </c>
      <c r="K27" s="4">
        <f t="shared" si="179"/>
        <v>-0.19036109969243875</v>
      </c>
      <c r="L27" s="4">
        <f t="shared" si="179"/>
        <v>-9.9663539381968924E-2</v>
      </c>
      <c r="M27" s="50">
        <f t="shared" si="179"/>
        <v>-0.12493000000000004</v>
      </c>
      <c r="N27" s="4">
        <f t="shared" si="179"/>
        <v>0.13505000000000003</v>
      </c>
      <c r="O27" s="4">
        <f t="shared" si="179"/>
        <v>-0.11493</v>
      </c>
      <c r="P27" s="4">
        <f t="shared" si="179"/>
        <v>-0.10493000000000005</v>
      </c>
      <c r="Q27" s="4">
        <f t="shared" si="179"/>
        <v>-0.10492999999999998</v>
      </c>
      <c r="R27" s="4">
        <f t="shared" si="179"/>
        <v>0.14505000000000004</v>
      </c>
      <c r="S27" s="4">
        <f t="shared" si="179"/>
        <v>-6.7932000000000006E-2</v>
      </c>
      <c r="T27" s="4">
        <f t="shared" si="179"/>
        <v>-5.7931999999999921E-2</v>
      </c>
      <c r="U27" s="4">
        <f t="shared" si="179"/>
        <v>-5.793199999999999E-2</v>
      </c>
      <c r="V27" s="4">
        <f t="shared" si="179"/>
        <v>0.18204799999999996</v>
      </c>
      <c r="W27" s="4">
        <f t="shared" si="179"/>
        <v>-3.0933999999999913E-2</v>
      </c>
      <c r="X27" s="4">
        <f t="shared" si="179"/>
        <v>-2.0933999999999953E-2</v>
      </c>
      <c r="Y27" s="4">
        <f t="shared" si="179"/>
        <v>-2.0933999999999921E-2</v>
      </c>
      <c r="Z27" s="4">
        <f t="shared" si="179"/>
        <v>0.21904600000000002</v>
      </c>
      <c r="AA27" s="4">
        <f t="shared" si="179"/>
        <v>1.0640000000000996E-3</v>
      </c>
      <c r="AB27" s="4">
        <f t="shared" si="179"/>
        <v>1.1064000000000108E-2</v>
      </c>
      <c r="AC27" s="4">
        <f t="shared" si="179"/>
        <v>1.10640000000001E-2</v>
      </c>
      <c r="AD27" s="4">
        <f t="shared" si="179"/>
        <v>0.25104400000000004</v>
      </c>
      <c r="AE27" s="4">
        <f t="shared" si="179"/>
        <v>3.3062000000000161E-2</v>
      </c>
      <c r="AF27" s="4">
        <f t="shared" si="179"/>
        <v>4.3062000000000211E-2</v>
      </c>
      <c r="AG27" s="4">
        <f t="shared" si="179"/>
        <v>4.3062000000000128E-2</v>
      </c>
      <c r="AH27" s="4">
        <f t="shared" si="179"/>
        <v>0.28304200000000024</v>
      </c>
      <c r="AI27" s="4">
        <f t="shared" ref="AI27:BF27" si="180">AI26/AI7</f>
        <v>6.0060000000000155E-2</v>
      </c>
      <c r="AJ27" s="4">
        <f t="shared" si="180"/>
        <v>7.0060000000000219E-2</v>
      </c>
      <c r="AK27" s="4">
        <f t="shared" si="180"/>
        <v>7.0060000000000164E-2</v>
      </c>
      <c r="AL27" s="4">
        <f t="shared" si="180"/>
        <v>0.30504000000000014</v>
      </c>
      <c r="AM27" s="4">
        <f t="shared" si="180"/>
        <v>7.2060000000000027E-2</v>
      </c>
      <c r="AN27" s="4">
        <f t="shared" si="180"/>
        <v>8.206000000000005E-2</v>
      </c>
      <c r="AO27" s="4">
        <f t="shared" si="180"/>
        <v>8.2060000000000063E-2</v>
      </c>
      <c r="AP27" s="4">
        <f t="shared" si="180"/>
        <v>0.31704000000000004</v>
      </c>
      <c r="AQ27" s="4">
        <f t="shared" si="180"/>
        <v>8.4060000000000162E-2</v>
      </c>
      <c r="AR27" s="4">
        <f t="shared" si="180"/>
        <v>9.4060000000000032E-2</v>
      </c>
      <c r="AS27" s="4">
        <f t="shared" si="180"/>
        <v>9.406000000000013E-2</v>
      </c>
      <c r="AT27" s="4">
        <f t="shared" si="180"/>
        <v>0.32904000000000005</v>
      </c>
      <c r="AU27" s="4">
        <f t="shared" si="180"/>
        <v>9.6060000000000048E-2</v>
      </c>
      <c r="AV27" s="4">
        <f t="shared" si="180"/>
        <v>0.10606000000000014</v>
      </c>
      <c r="AW27" s="4">
        <f t="shared" si="180"/>
        <v>0.10606000000000003</v>
      </c>
      <c r="AX27" s="4">
        <f t="shared" si="180"/>
        <v>0.34104000000000012</v>
      </c>
      <c r="AY27" s="4">
        <f t="shared" si="180"/>
        <v>0.10806000000000009</v>
      </c>
      <c r="AZ27" s="4">
        <f t="shared" si="180"/>
        <v>0.11806</v>
      </c>
      <c r="BA27" s="4">
        <f t="shared" si="180"/>
        <v>0.11806000000000014</v>
      </c>
      <c r="BB27" s="4">
        <f t="shared" si="180"/>
        <v>0.35304000000000013</v>
      </c>
      <c r="BC27" s="4">
        <f t="shared" si="180"/>
        <v>0.12006000000000015</v>
      </c>
      <c r="BD27" s="4">
        <f t="shared" si="180"/>
        <v>0.13006000000000018</v>
      </c>
      <c r="BE27" s="4">
        <f t="shared" si="180"/>
        <v>0.13006000000000012</v>
      </c>
      <c r="BF27" s="4">
        <f t="shared" si="180"/>
        <v>0.36504000000000014</v>
      </c>
      <c r="BG27" s="1" t="s">
        <v>7</v>
      </c>
      <c r="BH27" s="7" t="s">
        <v>16</v>
      </c>
      <c r="BI27" s="125">
        <f>BI26/BI7</f>
        <v>-0.19666830213259118</v>
      </c>
      <c r="BJ27" s="125">
        <f t="shared" ref="BJ27:BV27" si="181">BJ26/BJ7</f>
        <v>-5.1595910743294372E-2</v>
      </c>
      <c r="BK27" s="125">
        <f t="shared" si="181"/>
        <v>-3.896955374885594E-2</v>
      </c>
      <c r="BL27" s="125">
        <f t="shared" si="181"/>
        <v>-2.346872603284467E-2</v>
      </c>
      <c r="BM27" s="125">
        <f t="shared" si="181"/>
        <v>1.7155401220710874E-2</v>
      </c>
      <c r="BN27" s="125">
        <f t="shared" si="181"/>
        <v>5.1846896943722583E-2</v>
      </c>
      <c r="BO27" s="125">
        <f t="shared" si="181"/>
        <v>8.2105571149256582E-2</v>
      </c>
      <c r="BP27" s="125">
        <f t="shared" si="181"/>
        <v>0.11278518781474832</v>
      </c>
      <c r="BQ27" s="125">
        <f t="shared" si="181"/>
        <v>0.1374110162224281</v>
      </c>
      <c r="BR27" s="125">
        <f t="shared" si="181"/>
        <v>0.14877440772695977</v>
      </c>
      <c r="BS27" s="125">
        <f t="shared" si="181"/>
        <v>0.16030735771697996</v>
      </c>
      <c r="BT27" s="125">
        <f t="shared" si="181"/>
        <v>0.1719887319320634</v>
      </c>
      <c r="BU27" s="125">
        <f t="shared" si="181"/>
        <v>0.18375392696841961</v>
      </c>
      <c r="BV27" s="125">
        <f t="shared" si="181"/>
        <v>0.19579212662096987</v>
      </c>
    </row>
    <row r="28" spans="2:74" ht="20.05" customHeight="1" x14ac:dyDescent="0.4">
      <c r="B28" s="7" t="s">
        <v>17</v>
      </c>
      <c r="C28" s="4"/>
      <c r="D28" s="4">
        <f>D27-C27</f>
        <v>0.35541821021989933</v>
      </c>
      <c r="E28" s="4">
        <f>E27-D27</f>
        <v>3.4873201740048265E-2</v>
      </c>
      <c r="F28" s="4">
        <f>F27-E27</f>
        <v>0.30143074933896019</v>
      </c>
      <c r="G28" s="4">
        <f t="shared" ref="G28:L28" si="182">G27-F27</f>
        <v>-0.41507151037959666</v>
      </c>
      <c r="H28" s="4">
        <f t="shared" si="182"/>
        <v>0.14743260564669097</v>
      </c>
      <c r="I28" s="4">
        <f t="shared" si="182"/>
        <v>0.12729826542214495</v>
      </c>
      <c r="J28" s="4">
        <f t="shared" si="182"/>
        <v>0.25977381402907335</v>
      </c>
      <c r="K28" s="4">
        <f t="shared" si="182"/>
        <v>-0.37954494647702353</v>
      </c>
      <c r="L28" s="4">
        <f t="shared" si="182"/>
        <v>9.0697560310469827E-2</v>
      </c>
      <c r="M28" s="50">
        <f t="shared" ref="M28" si="183">M27-L27</f>
        <v>-2.5266460618031117E-2</v>
      </c>
      <c r="N28" s="4">
        <f t="shared" ref="N28" si="184">N27-M27</f>
        <v>0.2599800000000001</v>
      </c>
      <c r="O28" s="4">
        <f t="shared" ref="O28" si="185">O27-N27</f>
        <v>-0.24998000000000004</v>
      </c>
      <c r="P28" s="4">
        <f t="shared" ref="P28" si="186">P27-O27</f>
        <v>9.9999999999999534E-3</v>
      </c>
      <c r="Q28" s="4">
        <f t="shared" ref="Q28" si="187">Q27-P27</f>
        <v>0</v>
      </c>
      <c r="R28" s="4">
        <f t="shared" ref="R28" si="188">R27-Q27</f>
        <v>0.24998000000000004</v>
      </c>
      <c r="S28" s="4">
        <f t="shared" ref="S28" si="189">S27-R27</f>
        <v>-0.21298200000000006</v>
      </c>
      <c r="T28" s="4">
        <f t="shared" ref="T28" si="190">T27-S27</f>
        <v>1.0000000000000085E-2</v>
      </c>
      <c r="U28" s="4">
        <f t="shared" ref="U28" si="191">U27-T27</f>
        <v>-6.9388939039072284E-17</v>
      </c>
      <c r="V28" s="4">
        <f t="shared" ref="V28" si="192">V27-U27</f>
        <v>0.23997999999999994</v>
      </c>
      <c r="W28" s="4">
        <f t="shared" ref="W28" si="193">W27-V27</f>
        <v>-0.21298199999999987</v>
      </c>
      <c r="X28" s="4">
        <f t="shared" ref="X28" si="194">X27-W27</f>
        <v>9.9999999999999603E-3</v>
      </c>
      <c r="Y28" s="4">
        <f t="shared" ref="Y28" si="195">Y27-X27</f>
        <v>3.1225022567582528E-17</v>
      </c>
      <c r="Z28" s="4">
        <f t="shared" ref="Z28" si="196">Z27-Y27</f>
        <v>0.23997999999999994</v>
      </c>
      <c r="AA28" s="4">
        <f t="shared" ref="AA28" si="197">AA27-Z27</f>
        <v>-0.21798199999999993</v>
      </c>
      <c r="AB28" s="4">
        <f t="shared" ref="AB28" si="198">AB27-AA27</f>
        <v>1.0000000000000009E-2</v>
      </c>
      <c r="AC28" s="4">
        <f t="shared" ref="AC28" si="199">AC27-AB27</f>
        <v>0</v>
      </c>
      <c r="AD28" s="4">
        <f t="shared" ref="AD28" si="200">AD27-AC27</f>
        <v>0.23997999999999994</v>
      </c>
      <c r="AE28" s="4">
        <f t="shared" ref="AE28" si="201">AE27-AD27</f>
        <v>-0.2179819999999999</v>
      </c>
      <c r="AF28" s="4">
        <f t="shared" ref="AF28" si="202">AF27-AE27</f>
        <v>1.0000000000000051E-2</v>
      </c>
      <c r="AG28" s="4">
        <f t="shared" ref="AG28" si="203">AG27-AF27</f>
        <v>-8.3266726846886741E-17</v>
      </c>
      <c r="AH28" s="4">
        <f t="shared" ref="AH28" si="204">AH27-AG27</f>
        <v>0.23998000000000011</v>
      </c>
      <c r="AI28" s="4">
        <f t="shared" ref="AI28" si="205">AI27-AH27</f>
        <v>-0.22298200000000007</v>
      </c>
      <c r="AJ28" s="4">
        <f t="shared" ref="AJ28" si="206">AJ27-AI27</f>
        <v>1.0000000000000064E-2</v>
      </c>
      <c r="AK28" s="4">
        <f t="shared" ref="AK28" si="207">AK27-AJ27</f>
        <v>0</v>
      </c>
      <c r="AL28" s="4">
        <f t="shared" ref="AL28" si="208">AL27-AK27</f>
        <v>0.23497999999999997</v>
      </c>
      <c r="AM28" s="4">
        <f t="shared" ref="AM28" si="209">AM27-AL27</f>
        <v>-0.23298000000000013</v>
      </c>
      <c r="AN28" s="4">
        <f t="shared" ref="AN28" si="210">AN27-AM27</f>
        <v>1.0000000000000023E-2</v>
      </c>
      <c r="AO28" s="4">
        <f t="shared" ref="AO28" si="211">AO27-AN27</f>
        <v>0</v>
      </c>
      <c r="AP28" s="4">
        <f t="shared" ref="AP28" si="212">AP27-AO27</f>
        <v>0.23497999999999997</v>
      </c>
      <c r="AQ28" s="4">
        <f t="shared" ref="AQ28" si="213">AQ27-AP27</f>
        <v>-0.23297999999999988</v>
      </c>
      <c r="AR28" s="4">
        <f t="shared" ref="AR28" si="214">AR27-AQ27</f>
        <v>9.9999999999998701E-3</v>
      </c>
      <c r="AS28" s="4">
        <f t="shared" ref="AS28" si="215">AS27-AR27</f>
        <v>0</v>
      </c>
      <c r="AT28" s="4">
        <f t="shared" ref="AT28" si="216">AT27-AS27</f>
        <v>0.23497999999999991</v>
      </c>
      <c r="AU28" s="4">
        <f t="shared" ref="AU28" si="217">AU27-AT27</f>
        <v>-0.23298000000000002</v>
      </c>
      <c r="AV28" s="4">
        <f t="shared" ref="AV28" si="218">AV27-AU27</f>
        <v>1.0000000000000092E-2</v>
      </c>
      <c r="AW28" s="4">
        <f t="shared" ref="AW28" si="219">AW27-AV27</f>
        <v>-1.1102230246251565E-16</v>
      </c>
      <c r="AX28" s="4">
        <f t="shared" ref="AX28" si="220">AX27-AW27</f>
        <v>0.23498000000000008</v>
      </c>
      <c r="AY28" s="4">
        <f t="shared" ref="AY28" si="221">AY27-AX27</f>
        <v>-0.23298000000000002</v>
      </c>
      <c r="AZ28" s="4">
        <f t="shared" ref="AZ28" si="222">AZ27-AY27</f>
        <v>9.9999999999999117E-3</v>
      </c>
      <c r="BA28" s="4">
        <f t="shared" ref="BA28" si="223">BA27-AZ27</f>
        <v>1.3877787807814457E-16</v>
      </c>
      <c r="BB28" s="4">
        <f t="shared" ref="BB28" si="224">BB27-BA27</f>
        <v>0.23497999999999999</v>
      </c>
      <c r="BC28" s="4">
        <f t="shared" ref="BC28" si="225">BC27-BB27</f>
        <v>-0.23297999999999996</v>
      </c>
      <c r="BD28" s="4">
        <f t="shared" ref="BD28" si="226">BD27-BC27</f>
        <v>1.0000000000000023E-2</v>
      </c>
      <c r="BE28" s="4">
        <f t="shared" ref="BE28" si="227">BE27-BD27</f>
        <v>0</v>
      </c>
      <c r="BF28" s="4">
        <f t="shared" ref="BF28" si="228">BF27-BE27</f>
        <v>0.23498000000000002</v>
      </c>
      <c r="BG28" s="1" t="s">
        <v>7</v>
      </c>
      <c r="BH28" s="7" t="s">
        <v>17</v>
      </c>
    </row>
    <row r="29" spans="2:74" ht="20.05" customHeight="1" x14ac:dyDescent="0.4">
      <c r="B29" s="7" t="s">
        <v>18</v>
      </c>
      <c r="C29" s="2"/>
      <c r="D29" s="2"/>
      <c r="E29" s="2"/>
      <c r="F29" s="2"/>
      <c r="G29" s="4">
        <f>G27-C27</f>
        <v>0.27665065091931113</v>
      </c>
      <c r="H29" s="4">
        <f t="shared" ref="H29:L29" si="229">H27-D27</f>
        <v>6.8665046346102765E-2</v>
      </c>
      <c r="I29" s="4">
        <f t="shared" si="229"/>
        <v>0.16109011002819945</v>
      </c>
      <c r="J29" s="4">
        <f t="shared" si="229"/>
        <v>0.11943317471831266</v>
      </c>
      <c r="K29" s="4">
        <f t="shared" si="229"/>
        <v>0.1549597386208858</v>
      </c>
      <c r="L29" s="4">
        <f t="shared" si="229"/>
        <v>9.8224693284664655E-2</v>
      </c>
      <c r="M29" s="50">
        <f t="shared" ref="M29" si="230">M27-I27</f>
        <v>-5.4340032755511428E-2</v>
      </c>
      <c r="N29" s="4">
        <f t="shared" ref="N29" si="231">N27-J27</f>
        <v>-5.4133846784584716E-2</v>
      </c>
      <c r="O29" s="4">
        <f t="shared" ref="O29" si="232">O27-K27</f>
        <v>7.5431099692438747E-2</v>
      </c>
      <c r="P29" s="4">
        <f t="shared" ref="P29" si="233">P27-L27</f>
        <v>-5.2664606180311269E-3</v>
      </c>
      <c r="Q29" s="4">
        <f t="shared" ref="Q29" si="234">Q27-M27</f>
        <v>2.0000000000000059E-2</v>
      </c>
      <c r="R29" s="4">
        <f t="shared" ref="R29" si="235">R27-N27</f>
        <v>1.0000000000000009E-2</v>
      </c>
      <c r="S29" s="4">
        <f t="shared" ref="S29" si="236">S27-O27</f>
        <v>4.6997999999999998E-2</v>
      </c>
      <c r="T29" s="4">
        <f t="shared" ref="T29" si="237">T27-P27</f>
        <v>4.699800000000013E-2</v>
      </c>
      <c r="U29" s="4">
        <f t="shared" ref="U29" si="238">U27-Q27</f>
        <v>4.6997999999999991E-2</v>
      </c>
      <c r="V29" s="4">
        <f t="shared" ref="V29" si="239">V27-R27</f>
        <v>3.699799999999992E-2</v>
      </c>
      <c r="W29" s="4">
        <f t="shared" ref="W29" si="240">W27-S27</f>
        <v>3.6998000000000093E-2</v>
      </c>
      <c r="X29" s="4">
        <f t="shared" ref="X29" si="241">X27-T27</f>
        <v>3.6997999999999968E-2</v>
      </c>
      <c r="Y29" s="4">
        <f t="shared" ref="Y29" si="242">Y27-U27</f>
        <v>3.6998000000000072E-2</v>
      </c>
      <c r="Z29" s="4">
        <f t="shared" ref="Z29" si="243">Z27-V27</f>
        <v>3.6998000000000059E-2</v>
      </c>
      <c r="AA29" s="4">
        <f t="shared" ref="AA29" si="244">AA27-W27</f>
        <v>3.1998000000000013E-2</v>
      </c>
      <c r="AB29" s="4">
        <f t="shared" ref="AB29" si="245">AB27-X27</f>
        <v>3.1998000000000061E-2</v>
      </c>
      <c r="AC29" s="4">
        <f t="shared" ref="AC29" si="246">AC27-Y27</f>
        <v>3.1998000000000019E-2</v>
      </c>
      <c r="AD29" s="4">
        <f t="shared" ref="AD29" si="247">AD27-Z27</f>
        <v>3.1998000000000026E-2</v>
      </c>
      <c r="AE29" s="4">
        <f t="shared" ref="AE29" si="248">AE27-AA27</f>
        <v>3.1998000000000061E-2</v>
      </c>
      <c r="AF29" s="4">
        <f t="shared" ref="AF29" si="249">AF27-AB27</f>
        <v>3.1998000000000103E-2</v>
      </c>
      <c r="AG29" s="4">
        <f t="shared" ref="AG29" si="250">AG27-AC27</f>
        <v>3.1998000000000026E-2</v>
      </c>
      <c r="AH29" s="4">
        <f t="shared" ref="AH29" si="251">AH27-AD27</f>
        <v>3.1998000000000193E-2</v>
      </c>
      <c r="AI29" s="4">
        <f t="shared" ref="AI29" si="252">AI27-AE27</f>
        <v>2.6997999999999994E-2</v>
      </c>
      <c r="AJ29" s="4">
        <f t="shared" ref="AJ29" si="253">AJ27-AF27</f>
        <v>2.6998000000000008E-2</v>
      </c>
      <c r="AK29" s="4">
        <f t="shared" ref="AK29" si="254">AK27-AG27</f>
        <v>2.6998000000000036E-2</v>
      </c>
      <c r="AL29" s="4">
        <f t="shared" ref="AL29" si="255">AL27-AH27</f>
        <v>2.1997999999999907E-2</v>
      </c>
      <c r="AM29" s="4">
        <f t="shared" ref="AM29" si="256">AM27-AI27</f>
        <v>1.1999999999999872E-2</v>
      </c>
      <c r="AN29" s="4">
        <f t="shared" ref="AN29" si="257">AN27-AJ27</f>
        <v>1.199999999999983E-2</v>
      </c>
      <c r="AO29" s="4">
        <f t="shared" ref="AO29" si="258">AO27-AK27</f>
        <v>1.19999999999999E-2</v>
      </c>
      <c r="AP29" s="4">
        <f t="shared" ref="AP29" si="259">AP27-AL27</f>
        <v>1.19999999999999E-2</v>
      </c>
      <c r="AQ29" s="4">
        <f t="shared" ref="AQ29" si="260">AQ27-AM27</f>
        <v>1.2000000000000136E-2</v>
      </c>
      <c r="AR29" s="4">
        <f t="shared" ref="AR29" si="261">AR27-AN27</f>
        <v>1.1999999999999983E-2</v>
      </c>
      <c r="AS29" s="4">
        <f t="shared" ref="AS29" si="262">AS27-AO27</f>
        <v>1.2000000000000066E-2</v>
      </c>
      <c r="AT29" s="4">
        <f t="shared" ref="AT29" si="263">AT27-AP27</f>
        <v>1.2000000000000011E-2</v>
      </c>
      <c r="AU29" s="4">
        <f t="shared" ref="AU29" si="264">AU27-AQ27</f>
        <v>1.1999999999999886E-2</v>
      </c>
      <c r="AV29" s="4">
        <f t="shared" ref="AV29" si="265">AV27-AR27</f>
        <v>1.2000000000000108E-2</v>
      </c>
      <c r="AW29" s="4">
        <f t="shared" ref="AW29" si="266">AW27-AS27</f>
        <v>1.19999999999999E-2</v>
      </c>
      <c r="AX29" s="4">
        <f t="shared" ref="AX29" si="267">AX27-AT27</f>
        <v>1.2000000000000066E-2</v>
      </c>
      <c r="AY29" s="4">
        <f t="shared" ref="AY29" si="268">AY27-AU27</f>
        <v>1.2000000000000038E-2</v>
      </c>
      <c r="AZ29" s="4">
        <f t="shared" ref="AZ29" si="269">AZ27-AV27</f>
        <v>1.1999999999999858E-2</v>
      </c>
      <c r="BA29" s="4">
        <f t="shared" ref="BA29" si="270">BA27-AW27</f>
        <v>1.2000000000000108E-2</v>
      </c>
      <c r="BB29" s="4">
        <f t="shared" ref="BB29" si="271">BB27-AX27</f>
        <v>1.2000000000000011E-2</v>
      </c>
      <c r="BC29" s="4">
        <f t="shared" ref="BC29" si="272">BC27-AY27</f>
        <v>1.2000000000000066E-2</v>
      </c>
      <c r="BD29" s="4">
        <f t="shared" ref="BD29" si="273">BD27-AZ27</f>
        <v>1.2000000000000177E-2</v>
      </c>
      <c r="BE29" s="4">
        <f t="shared" ref="BE29" si="274">BE27-BA27</f>
        <v>1.1999999999999983E-2</v>
      </c>
      <c r="BF29" s="4">
        <f t="shared" ref="BF29" si="275">BF27-BB27</f>
        <v>1.2000000000000011E-2</v>
      </c>
      <c r="BG29" s="1" t="s">
        <v>7</v>
      </c>
      <c r="BH29" s="7" t="s">
        <v>18</v>
      </c>
      <c r="BJ29" s="184">
        <f>BJ27-BI27</f>
        <v>0.14507239138929681</v>
      </c>
      <c r="BK29" s="184">
        <f t="shared" ref="BK29:BV29" si="276">BK27-BJ27</f>
        <v>1.2626356994438433E-2</v>
      </c>
      <c r="BL29" s="184">
        <f t="shared" si="276"/>
        <v>1.5500827716011269E-2</v>
      </c>
      <c r="BM29" s="184">
        <f t="shared" si="276"/>
        <v>4.0624127253555548E-2</v>
      </c>
      <c r="BN29" s="184">
        <f t="shared" si="276"/>
        <v>3.4691495723011709E-2</v>
      </c>
      <c r="BO29" s="184">
        <f t="shared" si="276"/>
        <v>3.0258674205533999E-2</v>
      </c>
      <c r="BP29" s="184">
        <f t="shared" si="276"/>
        <v>3.0679616665491738E-2</v>
      </c>
      <c r="BQ29" s="184">
        <f t="shared" si="276"/>
        <v>2.4625828407679781E-2</v>
      </c>
      <c r="BR29" s="184">
        <f t="shared" si="276"/>
        <v>1.1363391504531667E-2</v>
      </c>
      <c r="BS29" s="184">
        <f t="shared" si="276"/>
        <v>1.1532949990020191E-2</v>
      </c>
      <c r="BT29" s="184">
        <f t="shared" si="276"/>
        <v>1.1681374215083445E-2</v>
      </c>
      <c r="BU29" s="184">
        <f t="shared" si="276"/>
        <v>1.1765195036356202E-2</v>
      </c>
      <c r="BV29" s="184">
        <f t="shared" si="276"/>
        <v>1.2038199652550263E-2</v>
      </c>
    </row>
    <row r="30" spans="2:74" ht="20.05" customHeight="1" x14ac:dyDescent="0.4">
      <c r="B30" s="1" t="s">
        <v>67</v>
      </c>
      <c r="C30" s="29">
        <v>1685</v>
      </c>
      <c r="D30" s="29">
        <v>1824</v>
      </c>
      <c r="E30" s="29">
        <v>2338</v>
      </c>
      <c r="F30" s="29">
        <v>2466</v>
      </c>
      <c r="G30" s="29">
        <v>2638</v>
      </c>
      <c r="H30" s="29">
        <v>3187</v>
      </c>
      <c r="I30" s="29">
        <v>3547</v>
      </c>
      <c r="J30" s="29">
        <v>3780</v>
      </c>
      <c r="K30" s="29">
        <v>4059</v>
      </c>
      <c r="L30" s="29">
        <v>8127</v>
      </c>
      <c r="M30" s="54">
        <f t="shared" ref="M30:O31" si="277">M98</f>
        <v>8000</v>
      </c>
      <c r="N30" s="28">
        <f t="shared" si="277"/>
        <v>8000</v>
      </c>
      <c r="O30" s="28">
        <f t="shared" si="277"/>
        <v>8000</v>
      </c>
      <c r="P30" s="28">
        <f t="shared" ref="P30:BF30" si="278">P98</f>
        <v>8000</v>
      </c>
      <c r="Q30" s="28">
        <f t="shared" si="278"/>
        <v>8000</v>
      </c>
      <c r="R30" s="28">
        <f t="shared" si="278"/>
        <v>8000</v>
      </c>
      <c r="S30" s="28">
        <f t="shared" si="278"/>
        <v>8000</v>
      </c>
      <c r="T30" s="28">
        <f t="shared" si="278"/>
        <v>8000</v>
      </c>
      <c r="U30" s="28">
        <f t="shared" si="278"/>
        <v>8000</v>
      </c>
      <c r="V30" s="28">
        <f t="shared" si="278"/>
        <v>8000</v>
      </c>
      <c r="W30" s="28">
        <f t="shared" si="278"/>
        <v>8000</v>
      </c>
      <c r="X30" s="28">
        <f t="shared" si="278"/>
        <v>8000</v>
      </c>
      <c r="Y30" s="28">
        <f t="shared" si="278"/>
        <v>8000</v>
      </c>
      <c r="Z30" s="28">
        <f t="shared" si="278"/>
        <v>8000</v>
      </c>
      <c r="AA30" s="28">
        <f t="shared" si="278"/>
        <v>8000</v>
      </c>
      <c r="AB30" s="28">
        <f t="shared" si="278"/>
        <v>8000</v>
      </c>
      <c r="AC30" s="28">
        <f t="shared" si="278"/>
        <v>8000</v>
      </c>
      <c r="AD30" s="28">
        <f t="shared" si="278"/>
        <v>8000</v>
      </c>
      <c r="AE30" s="28">
        <f t="shared" si="278"/>
        <v>8000</v>
      </c>
      <c r="AF30" s="28">
        <f t="shared" si="278"/>
        <v>8000</v>
      </c>
      <c r="AG30" s="28">
        <f t="shared" si="278"/>
        <v>8000</v>
      </c>
      <c r="AH30" s="28">
        <f t="shared" si="278"/>
        <v>8000</v>
      </c>
      <c r="AI30" s="28">
        <f t="shared" si="278"/>
        <v>8000</v>
      </c>
      <c r="AJ30" s="28">
        <f t="shared" si="278"/>
        <v>8000</v>
      </c>
      <c r="AK30" s="28">
        <f t="shared" si="278"/>
        <v>8000</v>
      </c>
      <c r="AL30" s="28">
        <f t="shared" si="278"/>
        <v>8000</v>
      </c>
      <c r="AM30" s="28">
        <f t="shared" si="278"/>
        <v>8000</v>
      </c>
      <c r="AN30" s="28">
        <f t="shared" si="278"/>
        <v>8000</v>
      </c>
      <c r="AO30" s="28">
        <f t="shared" si="278"/>
        <v>8000</v>
      </c>
      <c r="AP30" s="28">
        <f t="shared" si="278"/>
        <v>8000</v>
      </c>
      <c r="AQ30" s="28">
        <f t="shared" si="278"/>
        <v>8000</v>
      </c>
      <c r="AR30" s="28">
        <f t="shared" si="278"/>
        <v>8000</v>
      </c>
      <c r="AS30" s="28">
        <f t="shared" si="278"/>
        <v>8000</v>
      </c>
      <c r="AT30" s="28">
        <f t="shared" si="278"/>
        <v>8000</v>
      </c>
      <c r="AU30" s="28">
        <f t="shared" si="278"/>
        <v>8000</v>
      </c>
      <c r="AV30" s="28">
        <f t="shared" si="278"/>
        <v>8000</v>
      </c>
      <c r="AW30" s="28">
        <f t="shared" si="278"/>
        <v>8000</v>
      </c>
      <c r="AX30" s="28">
        <f t="shared" si="278"/>
        <v>8000</v>
      </c>
      <c r="AY30" s="28">
        <f t="shared" si="278"/>
        <v>8000</v>
      </c>
      <c r="AZ30" s="28">
        <f t="shared" si="278"/>
        <v>8000</v>
      </c>
      <c r="BA30" s="28">
        <f t="shared" si="278"/>
        <v>8000</v>
      </c>
      <c r="BB30" s="28">
        <f t="shared" si="278"/>
        <v>8000</v>
      </c>
      <c r="BC30" s="28">
        <f t="shared" si="278"/>
        <v>8000</v>
      </c>
      <c r="BD30" s="28">
        <f t="shared" si="278"/>
        <v>8000</v>
      </c>
      <c r="BE30" s="28">
        <f t="shared" si="278"/>
        <v>8000</v>
      </c>
      <c r="BF30" s="28">
        <f t="shared" si="278"/>
        <v>8000</v>
      </c>
      <c r="BG30" s="1" t="s">
        <v>7</v>
      </c>
      <c r="BH30" s="1" t="s">
        <v>67</v>
      </c>
      <c r="BI30" s="28">
        <f t="shared" ref="BI30:BV34" si="279">SUMIF($C$4:$BF$4,BI$5,$C30:$BF30)</f>
        <v>8313</v>
      </c>
      <c r="BJ30" s="28">
        <f t="shared" si="279"/>
        <v>13152</v>
      </c>
      <c r="BK30" s="28">
        <f t="shared" si="279"/>
        <v>28186</v>
      </c>
      <c r="BL30" s="28">
        <f t="shared" si="279"/>
        <v>32000</v>
      </c>
      <c r="BM30" s="28">
        <f t="shared" si="279"/>
        <v>32000</v>
      </c>
      <c r="BN30" s="28">
        <f t="shared" si="279"/>
        <v>32000</v>
      </c>
      <c r="BO30" s="28">
        <f t="shared" si="279"/>
        <v>32000</v>
      </c>
      <c r="BP30" s="28">
        <f t="shared" si="279"/>
        <v>32000</v>
      </c>
      <c r="BQ30" s="28">
        <f t="shared" si="279"/>
        <v>32000</v>
      </c>
      <c r="BR30" s="28">
        <f t="shared" si="279"/>
        <v>32000</v>
      </c>
      <c r="BS30" s="28">
        <f t="shared" si="279"/>
        <v>32000</v>
      </c>
      <c r="BT30" s="28">
        <f t="shared" si="279"/>
        <v>32000</v>
      </c>
      <c r="BU30" s="28">
        <f t="shared" si="279"/>
        <v>32000</v>
      </c>
      <c r="BV30" s="28">
        <f t="shared" si="279"/>
        <v>32000</v>
      </c>
    </row>
    <row r="31" spans="2:74" ht="20.05" customHeight="1" x14ac:dyDescent="0.4">
      <c r="B31" s="6" t="s">
        <v>68</v>
      </c>
      <c r="C31" s="10">
        <v>168</v>
      </c>
      <c r="D31" s="10">
        <v>39</v>
      </c>
      <c r="E31" s="10">
        <v>94</v>
      </c>
      <c r="F31" s="10">
        <v>-413</v>
      </c>
      <c r="G31" s="10">
        <v>-242</v>
      </c>
      <c r="H31" s="10">
        <v>-214</v>
      </c>
      <c r="I31" s="10">
        <v>82</v>
      </c>
      <c r="J31" s="10">
        <v>-621</v>
      </c>
      <c r="K31" s="10">
        <v>-500</v>
      </c>
      <c r="L31" s="10">
        <v>-448</v>
      </c>
      <c r="M31" s="51">
        <f t="shared" si="277"/>
        <v>-500</v>
      </c>
      <c r="N31" s="11">
        <f t="shared" si="277"/>
        <v>-500</v>
      </c>
      <c r="O31" s="11">
        <f t="shared" si="277"/>
        <v>-500</v>
      </c>
      <c r="P31" s="11">
        <f t="shared" ref="P31:BF31" si="280">P99</f>
        <v>-500</v>
      </c>
      <c r="Q31" s="11">
        <f t="shared" si="280"/>
        <v>-500</v>
      </c>
      <c r="R31" s="11">
        <f t="shared" si="280"/>
        <v>-500</v>
      </c>
      <c r="S31" s="11">
        <f t="shared" si="280"/>
        <v>-500</v>
      </c>
      <c r="T31" s="11">
        <f t="shared" si="280"/>
        <v>-500</v>
      </c>
      <c r="U31" s="11">
        <f t="shared" si="280"/>
        <v>-500</v>
      </c>
      <c r="V31" s="11">
        <f t="shared" si="280"/>
        <v>-500</v>
      </c>
      <c r="W31" s="11">
        <f t="shared" si="280"/>
        <v>-500</v>
      </c>
      <c r="X31" s="11">
        <f t="shared" si="280"/>
        <v>-500</v>
      </c>
      <c r="Y31" s="11">
        <f t="shared" si="280"/>
        <v>-500</v>
      </c>
      <c r="Z31" s="11">
        <f t="shared" si="280"/>
        <v>-500</v>
      </c>
      <c r="AA31" s="11">
        <f t="shared" si="280"/>
        <v>-500</v>
      </c>
      <c r="AB31" s="11">
        <f t="shared" si="280"/>
        <v>-500</v>
      </c>
      <c r="AC31" s="11">
        <f t="shared" si="280"/>
        <v>-500</v>
      </c>
      <c r="AD31" s="11">
        <f t="shared" si="280"/>
        <v>-500</v>
      </c>
      <c r="AE31" s="11">
        <f t="shared" si="280"/>
        <v>-500</v>
      </c>
      <c r="AF31" s="11">
        <f t="shared" si="280"/>
        <v>-500</v>
      </c>
      <c r="AG31" s="11">
        <f t="shared" si="280"/>
        <v>-500</v>
      </c>
      <c r="AH31" s="11">
        <f t="shared" si="280"/>
        <v>-500</v>
      </c>
      <c r="AI31" s="11">
        <f t="shared" si="280"/>
        <v>-500</v>
      </c>
      <c r="AJ31" s="11">
        <f t="shared" si="280"/>
        <v>-500</v>
      </c>
      <c r="AK31" s="11">
        <f t="shared" si="280"/>
        <v>-500</v>
      </c>
      <c r="AL31" s="11">
        <f t="shared" si="280"/>
        <v>-500</v>
      </c>
      <c r="AM31" s="11">
        <f t="shared" si="280"/>
        <v>-500</v>
      </c>
      <c r="AN31" s="11">
        <f t="shared" si="280"/>
        <v>-500</v>
      </c>
      <c r="AO31" s="11">
        <f t="shared" si="280"/>
        <v>-500</v>
      </c>
      <c r="AP31" s="11">
        <f t="shared" si="280"/>
        <v>-500</v>
      </c>
      <c r="AQ31" s="11">
        <f t="shared" si="280"/>
        <v>-500</v>
      </c>
      <c r="AR31" s="11">
        <f t="shared" si="280"/>
        <v>-500</v>
      </c>
      <c r="AS31" s="11">
        <f t="shared" si="280"/>
        <v>-500</v>
      </c>
      <c r="AT31" s="11">
        <f t="shared" si="280"/>
        <v>-500</v>
      </c>
      <c r="AU31" s="11">
        <f t="shared" si="280"/>
        <v>-500</v>
      </c>
      <c r="AV31" s="11">
        <f t="shared" si="280"/>
        <v>-500</v>
      </c>
      <c r="AW31" s="11">
        <f t="shared" si="280"/>
        <v>-500</v>
      </c>
      <c r="AX31" s="11">
        <f t="shared" si="280"/>
        <v>-500</v>
      </c>
      <c r="AY31" s="11">
        <f t="shared" si="280"/>
        <v>-500</v>
      </c>
      <c r="AZ31" s="11">
        <f t="shared" si="280"/>
        <v>-500</v>
      </c>
      <c r="BA31" s="11">
        <f t="shared" si="280"/>
        <v>-500</v>
      </c>
      <c r="BB31" s="11">
        <f t="shared" si="280"/>
        <v>-500</v>
      </c>
      <c r="BC31" s="11">
        <f t="shared" si="280"/>
        <v>-500</v>
      </c>
      <c r="BD31" s="11">
        <f t="shared" si="280"/>
        <v>-500</v>
      </c>
      <c r="BE31" s="11">
        <f t="shared" si="280"/>
        <v>-500</v>
      </c>
      <c r="BF31" s="11">
        <f t="shared" si="280"/>
        <v>-500</v>
      </c>
      <c r="BG31" s="1" t="s">
        <v>7</v>
      </c>
      <c r="BH31" s="6" t="s">
        <v>68</v>
      </c>
      <c r="BI31" s="11">
        <f t="shared" si="279"/>
        <v>-112</v>
      </c>
      <c r="BJ31" s="11">
        <f t="shared" si="279"/>
        <v>-995</v>
      </c>
      <c r="BK31" s="11">
        <f t="shared" si="279"/>
        <v>-1948</v>
      </c>
      <c r="BL31" s="11">
        <f t="shared" si="279"/>
        <v>-2000</v>
      </c>
      <c r="BM31" s="11">
        <f t="shared" si="279"/>
        <v>-2000</v>
      </c>
      <c r="BN31" s="11">
        <f t="shared" si="279"/>
        <v>-2000</v>
      </c>
      <c r="BO31" s="11">
        <f t="shared" si="279"/>
        <v>-2000</v>
      </c>
      <c r="BP31" s="11">
        <f t="shared" si="279"/>
        <v>-2000</v>
      </c>
      <c r="BQ31" s="11">
        <f t="shared" si="279"/>
        <v>-2000</v>
      </c>
      <c r="BR31" s="11">
        <f t="shared" si="279"/>
        <v>-2000</v>
      </c>
      <c r="BS31" s="11">
        <f t="shared" si="279"/>
        <v>-2000</v>
      </c>
      <c r="BT31" s="11">
        <f t="shared" si="279"/>
        <v>-2000</v>
      </c>
      <c r="BU31" s="11">
        <f t="shared" si="279"/>
        <v>-2000</v>
      </c>
      <c r="BV31" s="11">
        <f t="shared" si="279"/>
        <v>-2000</v>
      </c>
    </row>
    <row r="32" spans="2:74" ht="20.05" customHeight="1" x14ac:dyDescent="0.4">
      <c r="B32" s="1" t="s">
        <v>21</v>
      </c>
      <c r="C32" s="29">
        <v>-61147</v>
      </c>
      <c r="D32" s="29">
        <v>-36525</v>
      </c>
      <c r="E32" s="29">
        <v>-35625</v>
      </c>
      <c r="F32" s="29">
        <v>3564</v>
      </c>
      <c r="G32" s="29">
        <v>-52586</v>
      </c>
      <c r="H32" s="29">
        <v>-38395</v>
      </c>
      <c r="I32" s="29">
        <v>-18802</v>
      </c>
      <c r="J32" s="29">
        <v>47219</v>
      </c>
      <c r="K32" s="29">
        <v>-41267</v>
      </c>
      <c r="L32" s="29">
        <v>-1159464</v>
      </c>
      <c r="M32" s="54">
        <f>M20+M30+M31</f>
        <v>-96444.932550000012</v>
      </c>
      <c r="N32" s="28">
        <f>N20+N30+N31</f>
        <v>-1020.3017999999938</v>
      </c>
      <c r="O32" s="28">
        <f>O26+O30+O31</f>
        <v>-30762.495600000002</v>
      </c>
      <c r="P32" s="28">
        <f t="shared" ref="P32:Q32" si="281">P26+P30+P31</f>
        <v>-36336.08145000002</v>
      </c>
      <c r="Q32" s="28">
        <f t="shared" si="281"/>
        <v>-43965.017099999997</v>
      </c>
      <c r="R32" s="28">
        <f t="shared" ref="R32" si="282">R26+R30+R31</f>
        <v>97391.111250000031</v>
      </c>
      <c r="S32" s="28">
        <f t="shared" ref="S32" si="283">S26+S30+S31</f>
        <v>-27262.163040000007</v>
      </c>
      <c r="T32" s="28">
        <f t="shared" ref="T32" si="284">T26+T30+T31</f>
        <v>-28906.20675999995</v>
      </c>
      <c r="U32" s="28">
        <f t="shared" ref="U32" si="285">U26+U30+U31</f>
        <v>-34354.421699999992</v>
      </c>
      <c r="V32" s="28">
        <f t="shared" ref="V32" si="286">V26+V30+V31</f>
        <v>167560.24255999996</v>
      </c>
      <c r="W32" s="28">
        <f t="shared" ref="W32" si="287">W26+W30+W31</f>
        <v>-15265.645294999937</v>
      </c>
      <c r="X32" s="28">
        <f t="shared" ref="X32" si="288">X26+X30+X31</f>
        <v>-11055.635924999959</v>
      </c>
      <c r="Y32" s="28">
        <f t="shared" ref="Y32" si="289">Y26+Y30+Y31</f>
        <v>-13469.587799999921</v>
      </c>
      <c r="Z32" s="28">
        <f t="shared" ref="Z32" si="290">Z26+Z30+Z31</f>
        <v>267341.67465499998</v>
      </c>
      <c r="AA32" s="28">
        <f t="shared" ref="AA32" si="291">AA26+AA30+AA31</f>
        <v>8566.7025600000998</v>
      </c>
      <c r="AB32" s="28">
        <f t="shared" ref="AB32" si="292">AB26+AB30+AB31</f>
        <v>20644.917120000129</v>
      </c>
      <c r="AC32" s="28">
        <f t="shared" ref="AC32" si="293">AC26+AC30+AC31</f>
        <v>22158.527640000131</v>
      </c>
      <c r="AD32" s="28">
        <f t="shared" ref="AD32" si="294">AD26+AD30+AD31</f>
        <v>393524.08270000003</v>
      </c>
      <c r="AE32" s="28">
        <f t="shared" ref="AE32" si="295">AE26+AE30+AE31</f>
        <v>50555.072155000205</v>
      </c>
      <c r="AF32" s="28">
        <f t="shared" ref="AF32" si="296">AF26+AF30+AF31</f>
        <v>73100.543145000323</v>
      </c>
      <c r="AG32" s="28">
        <f t="shared" ref="AG32" si="297">AG26+AG30+AG31</f>
        <v>79904.231490000209</v>
      </c>
      <c r="AH32" s="28">
        <f t="shared" ref="AH32" si="298">AH26+AH30+AH31</f>
        <v>551564.04000500042</v>
      </c>
      <c r="AI32" s="28">
        <f t="shared" ref="AI32" si="299">AI26+AI30+AI31</f>
        <v>104805.75855000025</v>
      </c>
      <c r="AJ32" s="28">
        <f t="shared" ref="AJ32" si="300">AJ26+AJ30+AJ31</f>
        <v>139129.42860000042</v>
      </c>
      <c r="AK32" s="28">
        <f t="shared" ref="AK32" si="301">AK26+AK30+AK31</f>
        <v>151783.31550000032</v>
      </c>
      <c r="AL32" s="28">
        <f t="shared" ref="AL32" si="302">AL26+AL30+AL31</f>
        <v>718221.84720000031</v>
      </c>
      <c r="AM32" s="28">
        <f t="shared" ref="AM32" si="303">AM26+AM30+AM31</f>
        <v>148223.09160000007</v>
      </c>
      <c r="AN32" s="28">
        <f t="shared" ref="AN32" si="304">AN26+AN30+AN31</f>
        <v>192182.69737500008</v>
      </c>
      <c r="AO32" s="28">
        <f t="shared" ref="AO32" si="305">AO26+AO30+AO31</f>
        <v>208925.91205000016</v>
      </c>
      <c r="AP32" s="28">
        <f t="shared" ref="AP32" si="306">AP26+AP30+AP31</f>
        <v>881219.04330000014</v>
      </c>
      <c r="AQ32" s="28">
        <f t="shared" ref="AQ32" si="307">AQ26+AQ30+AQ31</f>
        <v>200127.16762500038</v>
      </c>
      <c r="AR32" s="28">
        <f t="shared" ref="AR32" si="308">AR26+AR30+AR31</f>
        <v>254819.13007500008</v>
      </c>
      <c r="AS32" s="28">
        <f t="shared" ref="AS32" si="309">AS26+AS30+AS31</f>
        <v>276242.23567500035</v>
      </c>
      <c r="AT32" s="28">
        <f t="shared" ref="AT32" si="310">AT26+AT30+AT31</f>
        <v>1057008.8631000002</v>
      </c>
      <c r="AU32" s="28">
        <f t="shared" ref="AU32" si="311">AU26+AU30+AU31</f>
        <v>260237.58232500011</v>
      </c>
      <c r="AV32" s="28">
        <f t="shared" ref="AV32" si="312">AV26+AV30+AV31</f>
        <v>326848.64862500044</v>
      </c>
      <c r="AW32" s="28">
        <f t="shared" ref="AW32" si="313">AW26+AW30+AW31</f>
        <v>353639.66977500013</v>
      </c>
      <c r="AX32" s="28">
        <f t="shared" ref="AX32" si="314">AX26+AX30+AX31</f>
        <v>1245060.4101000004</v>
      </c>
      <c r="AY32" s="28">
        <f t="shared" ref="AY32" si="315">AY26+AY30+AY31</f>
        <v>328694.16712500027</v>
      </c>
      <c r="AZ32" s="28">
        <f t="shared" ref="AZ32" si="316">AZ26+AZ30+AZ31</f>
        <v>408441.94267500006</v>
      </c>
      <c r="BA32" s="28">
        <f t="shared" ref="BA32" si="317">BA26+BA30+BA31</f>
        <v>441255.5390750005</v>
      </c>
      <c r="BB32" s="28">
        <f t="shared" ref="BB32" si="318">BB26+BB30+BB31</f>
        <v>1445330.8623000006</v>
      </c>
      <c r="BC32" s="28">
        <f t="shared" ref="BC32" si="319">BC26+BC30+BC31</f>
        <v>394185.7962750005</v>
      </c>
      <c r="BD32" s="28">
        <f t="shared" ref="BD32" si="320">BD26+BD30+BD31</f>
        <v>487358.4834750006</v>
      </c>
      <c r="BE32" s="28">
        <f t="shared" ref="BE32" si="321">BE26+BE30+BE31</f>
        <v>526759.83532500046</v>
      </c>
      <c r="BF32" s="28">
        <f t="shared" ref="BF32" si="322">BF26+BF30+BF31</f>
        <v>1622687.4687000006</v>
      </c>
      <c r="BG32" s="1" t="s">
        <v>7</v>
      </c>
      <c r="BH32" s="1" t="s">
        <v>21</v>
      </c>
      <c r="BI32" s="28">
        <f t="shared" si="279"/>
        <v>-129733</v>
      </c>
      <c r="BJ32" s="28">
        <f t="shared" si="279"/>
        <v>-62564</v>
      </c>
      <c r="BK32" s="28">
        <f t="shared" si="279"/>
        <v>-1298196.23435</v>
      </c>
      <c r="BL32" s="28">
        <f t="shared" si="279"/>
        <v>-13672.482899999988</v>
      </c>
      <c r="BM32" s="28">
        <f t="shared" si="279"/>
        <v>77037.451060000007</v>
      </c>
      <c r="BN32" s="28">
        <f t="shared" si="279"/>
        <v>227550.80563500017</v>
      </c>
      <c r="BO32" s="28">
        <f t="shared" si="279"/>
        <v>444894.23002000037</v>
      </c>
      <c r="BP32" s="28">
        <f t="shared" si="279"/>
        <v>755123.8867950011</v>
      </c>
      <c r="BQ32" s="28">
        <f t="shared" si="279"/>
        <v>1113940.3498500013</v>
      </c>
      <c r="BR32" s="28">
        <f t="shared" si="279"/>
        <v>1430550.7443250003</v>
      </c>
      <c r="BS32" s="28">
        <f t="shared" si="279"/>
        <v>1788197.396475001</v>
      </c>
      <c r="BT32" s="28">
        <f t="shared" si="279"/>
        <v>2185786.3108250014</v>
      </c>
      <c r="BU32" s="28">
        <f t="shared" si="279"/>
        <v>2623722.5111750015</v>
      </c>
      <c r="BV32" s="28">
        <f t="shared" si="279"/>
        <v>3030991.583775002</v>
      </c>
    </row>
    <row r="33" spans="2:74" ht="20.05" customHeight="1" x14ac:dyDescent="0.4">
      <c r="B33" s="1" t="s">
        <v>127</v>
      </c>
      <c r="C33" s="29">
        <v>53</v>
      </c>
      <c r="D33" s="29">
        <v>78</v>
      </c>
      <c r="E33" s="29">
        <v>20</v>
      </c>
      <c r="F33" s="29">
        <v>160</v>
      </c>
      <c r="G33" s="29">
        <v>123</v>
      </c>
      <c r="H33" s="29">
        <v>12</v>
      </c>
      <c r="I33" s="29">
        <v>72</v>
      </c>
      <c r="J33" s="29">
        <v>203</v>
      </c>
      <c r="K33" s="29">
        <v>153</v>
      </c>
      <c r="L33" s="29">
        <v>37</v>
      </c>
      <c r="M33" s="54">
        <f>M68-M69</f>
        <v>0</v>
      </c>
      <c r="N33" s="21">
        <f t="shared" ref="N33:BF33" si="323">N68-N69</f>
        <v>0</v>
      </c>
      <c r="O33" s="11">
        <f t="shared" si="323"/>
        <v>0</v>
      </c>
      <c r="P33" s="11">
        <f t="shared" si="323"/>
        <v>0</v>
      </c>
      <c r="Q33" s="11">
        <f t="shared" si="323"/>
        <v>0</v>
      </c>
      <c r="R33" s="11">
        <f t="shared" si="323"/>
        <v>4637.1618000000071</v>
      </c>
      <c r="S33" s="11">
        <f t="shared" si="323"/>
        <v>0</v>
      </c>
      <c r="T33" s="11">
        <f t="shared" si="323"/>
        <v>0</v>
      </c>
      <c r="U33" s="11">
        <f t="shared" si="323"/>
        <v>0</v>
      </c>
      <c r="V33" s="11">
        <f t="shared" si="323"/>
        <v>20431.667717499993</v>
      </c>
      <c r="W33" s="11">
        <f t="shared" si="323"/>
        <v>0</v>
      </c>
      <c r="X33" s="11">
        <f t="shared" si="323"/>
        <v>0</v>
      </c>
      <c r="Y33" s="11">
        <f t="shared" si="323"/>
        <v>0</v>
      </c>
      <c r="Z33" s="11">
        <f t="shared" si="323"/>
        <v>43319.725984374993</v>
      </c>
      <c r="AA33" s="11">
        <f t="shared" si="323"/>
        <v>0</v>
      </c>
      <c r="AB33" s="11">
        <f t="shared" si="323"/>
        <v>0</v>
      </c>
      <c r="AC33" s="11">
        <f t="shared" si="323"/>
        <v>0</v>
      </c>
      <c r="AD33" s="11">
        <f t="shared" si="323"/>
        <v>86134.402800000011</v>
      </c>
      <c r="AE33" s="11">
        <f t="shared" si="323"/>
        <v>1774.9701575000508</v>
      </c>
      <c r="AF33" s="11">
        <f t="shared" si="323"/>
        <v>5888.6930362500789</v>
      </c>
      <c r="AG33" s="11">
        <f t="shared" si="323"/>
        <v>6499.4323725000504</v>
      </c>
      <c r="AH33" s="11">
        <f t="shared" si="323"/>
        <v>123094.48424562509</v>
      </c>
      <c r="AI33" s="11">
        <f t="shared" si="323"/>
        <v>13179.251684062561</v>
      </c>
      <c r="AJ33" s="11">
        <f t="shared" si="323"/>
        <v>19985.136821250104</v>
      </c>
      <c r="AK33" s="11">
        <f t="shared" si="323"/>
        <v>21906.361153125079</v>
      </c>
      <c r="AL33" s="11">
        <f t="shared" si="323"/>
        <v>162045.75777625007</v>
      </c>
      <c r="AM33" s="11">
        <f t="shared" si="323"/>
        <v>21766.57756000002</v>
      </c>
      <c r="AN33" s="11">
        <f t="shared" si="323"/>
        <v>30717.058190625015</v>
      </c>
      <c r="AO33" s="11">
        <f t="shared" si="323"/>
        <v>33501.846948750041</v>
      </c>
      <c r="AP33" s="11">
        <f t="shared" si="323"/>
        <v>199968.22956375009</v>
      </c>
      <c r="AQ33" s="11">
        <f t="shared" si="323"/>
        <v>32442.244197656342</v>
      </c>
      <c r="AR33" s="11">
        <f t="shared" si="323"/>
        <v>43805.079652968765</v>
      </c>
      <c r="AS33" s="11">
        <f t="shared" si="323"/>
        <v>47599.532782968832</v>
      </c>
      <c r="AT33" s="11">
        <f t="shared" si="323"/>
        <v>241046.30855828128</v>
      </c>
      <c r="AU33" s="11">
        <f t="shared" si="323"/>
        <v>45171.646539062524</v>
      </c>
      <c r="AV33" s="11">
        <f t="shared" si="323"/>
        <v>59230.502585937618</v>
      </c>
      <c r="AW33" s="11">
        <f t="shared" si="323"/>
        <v>64199.509514062549</v>
      </c>
      <c r="AX33" s="11">
        <f t="shared" si="323"/>
        <v>285163.43501406256</v>
      </c>
      <c r="AY33" s="11">
        <f t="shared" si="323"/>
        <v>59982.772921093827</v>
      </c>
      <c r="AZ33" s="11">
        <f t="shared" si="323"/>
        <v>77032.15087640626</v>
      </c>
      <c r="BA33" s="11">
        <f t="shared" si="323"/>
        <v>83336.559668906382</v>
      </c>
      <c r="BB33" s="11">
        <f t="shared" si="323"/>
        <v>332313.58752046898</v>
      </c>
      <c r="BC33" s="11">
        <f t="shared" si="323"/>
        <v>74694.516444375127</v>
      </c>
      <c r="BD33" s="11">
        <f t="shared" si="323"/>
        <v>94798.430527500168</v>
      </c>
      <c r="BE33" s="11">
        <f t="shared" si="323"/>
        <v>102582.3635925001</v>
      </c>
      <c r="BF33" s="11">
        <f t="shared" si="323"/>
        <v>374357.21721062507</v>
      </c>
      <c r="BG33" s="1" t="s">
        <v>7</v>
      </c>
      <c r="BH33" s="1" t="s">
        <v>127</v>
      </c>
      <c r="BI33" s="28">
        <f t="shared" si="279"/>
        <v>311</v>
      </c>
      <c r="BJ33" s="28">
        <f t="shared" si="279"/>
        <v>410</v>
      </c>
      <c r="BK33" s="28">
        <f t="shared" si="279"/>
        <v>190</v>
      </c>
      <c r="BL33" s="28">
        <f t="shared" si="279"/>
        <v>4637.1618000000071</v>
      </c>
      <c r="BM33" s="28">
        <f t="shared" si="279"/>
        <v>20431.667717499993</v>
      </c>
      <c r="BN33" s="28">
        <f t="shared" si="279"/>
        <v>43319.725984374993</v>
      </c>
      <c r="BO33" s="28">
        <f t="shared" si="279"/>
        <v>86134.402800000011</v>
      </c>
      <c r="BP33" s="28">
        <f t="shared" si="279"/>
        <v>137257.57981187527</v>
      </c>
      <c r="BQ33" s="28">
        <f t="shared" si="279"/>
        <v>217116.50743468781</v>
      </c>
      <c r="BR33" s="28">
        <f t="shared" si="279"/>
        <v>285953.71226312517</v>
      </c>
      <c r="BS33" s="28">
        <f t="shared" si="279"/>
        <v>364893.16519187519</v>
      </c>
      <c r="BT33" s="28">
        <f t="shared" si="279"/>
        <v>453765.09365312522</v>
      </c>
      <c r="BU33" s="28">
        <f t="shared" si="279"/>
        <v>552665.07098687545</v>
      </c>
      <c r="BV33" s="28">
        <f t="shared" si="279"/>
        <v>646432.52777500043</v>
      </c>
    </row>
    <row r="34" spans="2:74" ht="20.05" customHeight="1" x14ac:dyDescent="0.4">
      <c r="B34" s="65" t="s">
        <v>22</v>
      </c>
      <c r="C34" s="66">
        <v>-61200</v>
      </c>
      <c r="D34" s="66">
        <v>-36603</v>
      </c>
      <c r="E34" s="66">
        <v>-35645</v>
      </c>
      <c r="F34" s="66">
        <v>3404</v>
      </c>
      <c r="G34" s="66">
        <v>-52709</v>
      </c>
      <c r="H34" s="66">
        <v>-38407</v>
      </c>
      <c r="I34" s="66">
        <v>-18874</v>
      </c>
      <c r="J34" s="66">
        <v>47016</v>
      </c>
      <c r="K34" s="66">
        <v>-41420</v>
      </c>
      <c r="L34" s="66">
        <v>-1159501</v>
      </c>
      <c r="M34" s="67">
        <f>M32-M33</f>
        <v>-96444.932550000012</v>
      </c>
      <c r="N34" s="66">
        <f>N32-N33</f>
        <v>-1020.3017999999938</v>
      </c>
      <c r="O34" s="157">
        <f>O32-O33</f>
        <v>-30762.495600000002</v>
      </c>
      <c r="P34" s="157">
        <f t="shared" ref="P34:BF34" si="324">P32-P33</f>
        <v>-36336.08145000002</v>
      </c>
      <c r="Q34" s="157">
        <f t="shared" si="324"/>
        <v>-43965.017099999997</v>
      </c>
      <c r="R34" s="157">
        <f t="shared" si="324"/>
        <v>92753.949450000029</v>
      </c>
      <c r="S34" s="157">
        <f t="shared" si="324"/>
        <v>-27262.163040000007</v>
      </c>
      <c r="T34" s="157">
        <f t="shared" si="324"/>
        <v>-28906.20675999995</v>
      </c>
      <c r="U34" s="157">
        <f t="shared" si="324"/>
        <v>-34354.421699999992</v>
      </c>
      <c r="V34" s="157">
        <f t="shared" si="324"/>
        <v>147128.57484249998</v>
      </c>
      <c r="W34" s="157">
        <f t="shared" si="324"/>
        <v>-15265.645294999937</v>
      </c>
      <c r="X34" s="157">
        <f t="shared" si="324"/>
        <v>-11055.635924999959</v>
      </c>
      <c r="Y34" s="157">
        <f t="shared" si="324"/>
        <v>-13469.587799999921</v>
      </c>
      <c r="Z34" s="157">
        <f t="shared" si="324"/>
        <v>224021.94867062499</v>
      </c>
      <c r="AA34" s="157">
        <f t="shared" si="324"/>
        <v>8566.7025600000998</v>
      </c>
      <c r="AB34" s="157">
        <f t="shared" si="324"/>
        <v>20644.917120000129</v>
      </c>
      <c r="AC34" s="157">
        <f t="shared" si="324"/>
        <v>22158.527640000131</v>
      </c>
      <c r="AD34" s="157">
        <f t="shared" si="324"/>
        <v>307389.67989999999</v>
      </c>
      <c r="AE34" s="157">
        <f t="shared" si="324"/>
        <v>48780.101997500155</v>
      </c>
      <c r="AF34" s="157">
        <f t="shared" si="324"/>
        <v>67211.850108750252</v>
      </c>
      <c r="AG34" s="157">
        <f t="shared" si="324"/>
        <v>73404.799117500166</v>
      </c>
      <c r="AH34" s="157">
        <f t="shared" si="324"/>
        <v>428469.55575937533</v>
      </c>
      <c r="AI34" s="157">
        <f t="shared" si="324"/>
        <v>91626.506865937685</v>
      </c>
      <c r="AJ34" s="157">
        <f t="shared" si="324"/>
        <v>119144.29177875031</v>
      </c>
      <c r="AK34" s="157">
        <f t="shared" si="324"/>
        <v>129876.95434687524</v>
      </c>
      <c r="AL34" s="157">
        <f t="shared" si="324"/>
        <v>556176.08942375029</v>
      </c>
      <c r="AM34" s="157">
        <f t="shared" si="324"/>
        <v>126456.51404000005</v>
      </c>
      <c r="AN34" s="157">
        <f t="shared" si="324"/>
        <v>161465.63918437506</v>
      </c>
      <c r="AO34" s="157">
        <f t="shared" si="324"/>
        <v>175424.06510125013</v>
      </c>
      <c r="AP34" s="157">
        <f t="shared" si="324"/>
        <v>681250.81373625004</v>
      </c>
      <c r="AQ34" s="157">
        <f t="shared" si="324"/>
        <v>167684.92342734404</v>
      </c>
      <c r="AR34" s="157">
        <f t="shared" si="324"/>
        <v>211014.05042203132</v>
      </c>
      <c r="AS34" s="157">
        <f t="shared" si="324"/>
        <v>228642.70289203152</v>
      </c>
      <c r="AT34" s="157">
        <f t="shared" si="324"/>
        <v>815962.55454171891</v>
      </c>
      <c r="AU34" s="157">
        <f t="shared" si="324"/>
        <v>215065.93578593759</v>
      </c>
      <c r="AV34" s="157">
        <f t="shared" si="324"/>
        <v>267618.14603906282</v>
      </c>
      <c r="AW34" s="157">
        <f t="shared" si="324"/>
        <v>289440.16026093758</v>
      </c>
      <c r="AX34" s="157">
        <f t="shared" si="324"/>
        <v>959896.97508593788</v>
      </c>
      <c r="AY34" s="157">
        <f t="shared" si="324"/>
        <v>268711.39420390641</v>
      </c>
      <c r="AZ34" s="157">
        <f t="shared" si="324"/>
        <v>331409.79179859383</v>
      </c>
      <c r="BA34" s="157">
        <f t="shared" si="324"/>
        <v>357918.97940609412</v>
      </c>
      <c r="BB34" s="157">
        <f t="shared" si="324"/>
        <v>1113017.2747795316</v>
      </c>
      <c r="BC34" s="157">
        <f t="shared" si="324"/>
        <v>319491.2798306254</v>
      </c>
      <c r="BD34" s="157">
        <f t="shared" si="324"/>
        <v>392560.05294750043</v>
      </c>
      <c r="BE34" s="157">
        <f t="shared" si="324"/>
        <v>424177.47173250036</v>
      </c>
      <c r="BF34" s="157">
        <f t="shared" si="324"/>
        <v>1248330.2514893755</v>
      </c>
      <c r="BG34" s="1" t="s">
        <v>7</v>
      </c>
      <c r="BH34" s="65" t="s">
        <v>22</v>
      </c>
      <c r="BI34" s="66">
        <f t="shared" si="279"/>
        <v>-130044</v>
      </c>
      <c r="BJ34" s="66">
        <f t="shared" si="279"/>
        <v>-62974</v>
      </c>
      <c r="BK34" s="66">
        <f t="shared" si="279"/>
        <v>-1298386.23435</v>
      </c>
      <c r="BL34" s="66">
        <f t="shared" si="279"/>
        <v>-18309.64469999999</v>
      </c>
      <c r="BM34" s="66">
        <f t="shared" si="279"/>
        <v>56605.783342500028</v>
      </c>
      <c r="BN34" s="66">
        <f t="shared" si="279"/>
        <v>184231.07965062518</v>
      </c>
      <c r="BO34" s="66">
        <f t="shared" si="279"/>
        <v>358759.82722000033</v>
      </c>
      <c r="BP34" s="66">
        <f t="shared" si="279"/>
        <v>617866.30698312586</v>
      </c>
      <c r="BQ34" s="66">
        <f t="shared" si="279"/>
        <v>896823.84241531347</v>
      </c>
      <c r="BR34" s="66">
        <f t="shared" si="279"/>
        <v>1144597.0320618753</v>
      </c>
      <c r="BS34" s="66">
        <f t="shared" si="279"/>
        <v>1423304.2312831259</v>
      </c>
      <c r="BT34" s="66">
        <f t="shared" si="279"/>
        <v>1732021.2171718758</v>
      </c>
      <c r="BU34" s="66">
        <f t="shared" si="279"/>
        <v>2071057.4401881259</v>
      </c>
      <c r="BV34" s="66">
        <f t="shared" si="279"/>
        <v>2384559.0560000017</v>
      </c>
    </row>
    <row r="35" spans="2:74" ht="20.05" customHeight="1" x14ac:dyDescent="0.4">
      <c r="M35" s="53"/>
      <c r="BG35" s="1" t="s">
        <v>7</v>
      </c>
    </row>
    <row r="36" spans="2:74" ht="20.05" customHeight="1" x14ac:dyDescent="0.4">
      <c r="B36" s="181" t="s">
        <v>133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53"/>
      <c r="BG36" s="1" t="s">
        <v>7</v>
      </c>
      <c r="BH36" s="181" t="s">
        <v>133</v>
      </c>
    </row>
    <row r="37" spans="2:74" ht="20.05" customHeight="1" x14ac:dyDescent="0.4">
      <c r="B37" s="8" t="s">
        <v>71</v>
      </c>
      <c r="C37" s="63">
        <f>IF(MONTH(C5)=12,C4,0)</f>
        <v>0</v>
      </c>
      <c r="D37" s="63">
        <f t="shared" ref="D37:BF37" si="325">IF(MONTH(D5)=12,D4,0)</f>
        <v>0</v>
      </c>
      <c r="E37" s="63">
        <f t="shared" si="325"/>
        <v>0</v>
      </c>
      <c r="F37" s="63">
        <f t="shared" si="325"/>
        <v>2017</v>
      </c>
      <c r="G37" s="63">
        <f t="shared" si="325"/>
        <v>0</v>
      </c>
      <c r="H37" s="63">
        <f t="shared" si="325"/>
        <v>0</v>
      </c>
      <c r="I37" s="63">
        <f t="shared" si="325"/>
        <v>0</v>
      </c>
      <c r="J37" s="63">
        <f t="shared" si="325"/>
        <v>2018</v>
      </c>
      <c r="K37" s="63">
        <f t="shared" si="325"/>
        <v>0</v>
      </c>
      <c r="L37" s="63">
        <f t="shared" si="325"/>
        <v>0</v>
      </c>
      <c r="M37" s="190">
        <f t="shared" si="325"/>
        <v>0</v>
      </c>
      <c r="N37" s="63">
        <f t="shared" si="325"/>
        <v>2019</v>
      </c>
      <c r="O37" s="63">
        <f t="shared" si="325"/>
        <v>0</v>
      </c>
      <c r="P37" s="63">
        <f t="shared" si="325"/>
        <v>0</v>
      </c>
      <c r="Q37" s="63">
        <f t="shared" si="325"/>
        <v>0</v>
      </c>
      <c r="R37" s="63">
        <f t="shared" si="325"/>
        <v>2020</v>
      </c>
      <c r="S37" s="63">
        <f t="shared" si="325"/>
        <v>0</v>
      </c>
      <c r="T37" s="63">
        <f t="shared" si="325"/>
        <v>0</v>
      </c>
      <c r="U37" s="63">
        <f t="shared" si="325"/>
        <v>0</v>
      </c>
      <c r="V37" s="63">
        <f t="shared" si="325"/>
        <v>2021</v>
      </c>
      <c r="W37" s="63">
        <f t="shared" si="325"/>
        <v>0</v>
      </c>
      <c r="X37" s="63">
        <f t="shared" si="325"/>
        <v>0</v>
      </c>
      <c r="Y37" s="63">
        <f t="shared" si="325"/>
        <v>0</v>
      </c>
      <c r="Z37" s="63">
        <f t="shared" si="325"/>
        <v>2022</v>
      </c>
      <c r="AA37" s="63">
        <f t="shared" si="325"/>
        <v>0</v>
      </c>
      <c r="AB37" s="63">
        <f t="shared" si="325"/>
        <v>0</v>
      </c>
      <c r="AC37" s="63">
        <f t="shared" si="325"/>
        <v>0</v>
      </c>
      <c r="AD37" s="63">
        <f t="shared" si="325"/>
        <v>2023</v>
      </c>
      <c r="AE37" s="63">
        <f t="shared" si="325"/>
        <v>0</v>
      </c>
      <c r="AF37" s="63">
        <f t="shared" si="325"/>
        <v>0</v>
      </c>
      <c r="AG37" s="63">
        <f t="shared" si="325"/>
        <v>0</v>
      </c>
      <c r="AH37" s="63">
        <f t="shared" si="325"/>
        <v>2024</v>
      </c>
      <c r="AI37" s="63">
        <f t="shared" si="325"/>
        <v>0</v>
      </c>
      <c r="AJ37" s="63">
        <f t="shared" si="325"/>
        <v>0</v>
      </c>
      <c r="AK37" s="63">
        <f t="shared" si="325"/>
        <v>0</v>
      </c>
      <c r="AL37" s="63">
        <f t="shared" si="325"/>
        <v>2025</v>
      </c>
      <c r="AM37" s="63">
        <f t="shared" si="325"/>
        <v>0</v>
      </c>
      <c r="AN37" s="63">
        <f t="shared" si="325"/>
        <v>0</v>
      </c>
      <c r="AO37" s="63">
        <f t="shared" si="325"/>
        <v>0</v>
      </c>
      <c r="AP37" s="63">
        <f t="shared" si="325"/>
        <v>2026</v>
      </c>
      <c r="AQ37" s="63">
        <f t="shared" si="325"/>
        <v>0</v>
      </c>
      <c r="AR37" s="63">
        <f t="shared" si="325"/>
        <v>0</v>
      </c>
      <c r="AS37" s="63">
        <f t="shared" si="325"/>
        <v>0</v>
      </c>
      <c r="AT37" s="63">
        <f t="shared" si="325"/>
        <v>2027</v>
      </c>
      <c r="AU37" s="63">
        <f t="shared" si="325"/>
        <v>0</v>
      </c>
      <c r="AV37" s="63">
        <f t="shared" si="325"/>
        <v>0</v>
      </c>
      <c r="AW37" s="63">
        <f t="shared" si="325"/>
        <v>0</v>
      </c>
      <c r="AX37" s="63">
        <f t="shared" si="325"/>
        <v>2028</v>
      </c>
      <c r="AY37" s="63">
        <f t="shared" si="325"/>
        <v>0</v>
      </c>
      <c r="AZ37" s="63">
        <f t="shared" si="325"/>
        <v>0</v>
      </c>
      <c r="BA37" s="63">
        <f t="shared" si="325"/>
        <v>0</v>
      </c>
      <c r="BB37" s="63">
        <f t="shared" si="325"/>
        <v>2029</v>
      </c>
      <c r="BC37" s="63">
        <f t="shared" si="325"/>
        <v>0</v>
      </c>
      <c r="BD37" s="63">
        <f t="shared" si="325"/>
        <v>0</v>
      </c>
      <c r="BE37" s="63">
        <f t="shared" si="325"/>
        <v>0</v>
      </c>
      <c r="BF37" s="63">
        <f t="shared" si="325"/>
        <v>2030</v>
      </c>
      <c r="BG37" s="1" t="s">
        <v>7</v>
      </c>
      <c r="BH37" s="8" t="s">
        <v>71</v>
      </c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</row>
    <row r="38" spans="2:74" ht="20.05" customHeight="1" x14ac:dyDescent="0.4">
      <c r="B38" s="1" t="s">
        <v>42</v>
      </c>
      <c r="C38" s="1">
        <v>71</v>
      </c>
      <c r="D38" s="1">
        <v>71</v>
      </c>
      <c r="E38" s="1">
        <v>74</v>
      </c>
      <c r="F38" s="1">
        <v>76</v>
      </c>
      <c r="G38" s="1">
        <v>80</v>
      </c>
      <c r="H38" s="1">
        <v>75</v>
      </c>
      <c r="I38" s="1">
        <v>80</v>
      </c>
      <c r="J38" s="1">
        <v>82</v>
      </c>
      <c r="K38" s="1">
        <v>85</v>
      </c>
      <c r="L38" s="1">
        <v>85</v>
      </c>
      <c r="M38" s="53">
        <f>L38+M39</f>
        <v>85.5</v>
      </c>
      <c r="N38" s="1">
        <f>M38+N39</f>
        <v>86</v>
      </c>
      <c r="O38" s="1">
        <f>N38+O39</f>
        <v>86.5</v>
      </c>
      <c r="P38" s="1">
        <f t="shared" ref="P38:BF38" si="326">O38+P39</f>
        <v>86.5</v>
      </c>
      <c r="Q38" s="1">
        <f t="shared" si="326"/>
        <v>87</v>
      </c>
      <c r="R38" s="1">
        <f t="shared" si="326"/>
        <v>87.5</v>
      </c>
      <c r="S38" s="1">
        <f t="shared" si="326"/>
        <v>88</v>
      </c>
      <c r="T38" s="1">
        <f t="shared" si="326"/>
        <v>88</v>
      </c>
      <c r="U38" s="1">
        <f t="shared" si="326"/>
        <v>88.5</v>
      </c>
      <c r="V38" s="1">
        <f t="shared" si="326"/>
        <v>89</v>
      </c>
      <c r="W38" s="1">
        <f t="shared" si="326"/>
        <v>89.5</v>
      </c>
      <c r="X38" s="1">
        <f t="shared" si="326"/>
        <v>89.5</v>
      </c>
      <c r="Y38" s="1">
        <f t="shared" si="326"/>
        <v>90</v>
      </c>
      <c r="Z38" s="1">
        <f t="shared" si="326"/>
        <v>90.5</v>
      </c>
      <c r="AA38" s="1">
        <f t="shared" si="326"/>
        <v>91</v>
      </c>
      <c r="AB38" s="1">
        <f t="shared" si="326"/>
        <v>91</v>
      </c>
      <c r="AC38" s="1">
        <f t="shared" si="326"/>
        <v>91.5</v>
      </c>
      <c r="AD38" s="1">
        <f t="shared" si="326"/>
        <v>92</v>
      </c>
      <c r="AE38" s="1">
        <f t="shared" si="326"/>
        <v>92.5</v>
      </c>
      <c r="AF38" s="1">
        <f t="shared" si="326"/>
        <v>92.5</v>
      </c>
      <c r="AG38" s="1">
        <f t="shared" si="326"/>
        <v>93</v>
      </c>
      <c r="AH38" s="1">
        <f t="shared" si="326"/>
        <v>93.5</v>
      </c>
      <c r="AI38" s="1">
        <f t="shared" si="326"/>
        <v>94</v>
      </c>
      <c r="AJ38" s="1">
        <f t="shared" si="326"/>
        <v>94</v>
      </c>
      <c r="AK38" s="1">
        <f t="shared" si="326"/>
        <v>94.5</v>
      </c>
      <c r="AL38" s="1">
        <f t="shared" si="326"/>
        <v>95</v>
      </c>
      <c r="AM38" s="1">
        <f t="shared" si="326"/>
        <v>95.5</v>
      </c>
      <c r="AN38" s="1">
        <f t="shared" si="326"/>
        <v>95.5</v>
      </c>
      <c r="AO38" s="1">
        <f t="shared" si="326"/>
        <v>96</v>
      </c>
      <c r="AP38" s="1">
        <f t="shared" si="326"/>
        <v>96.5</v>
      </c>
      <c r="AQ38" s="1">
        <f t="shared" si="326"/>
        <v>97</v>
      </c>
      <c r="AR38" s="1">
        <f t="shared" si="326"/>
        <v>97</v>
      </c>
      <c r="AS38" s="1">
        <f t="shared" si="326"/>
        <v>97.5</v>
      </c>
      <c r="AT38" s="1">
        <f t="shared" si="326"/>
        <v>98</v>
      </c>
      <c r="AU38" s="1">
        <f t="shared" si="326"/>
        <v>98.5</v>
      </c>
      <c r="AV38" s="1">
        <f t="shared" si="326"/>
        <v>98.5</v>
      </c>
      <c r="AW38" s="1">
        <f t="shared" si="326"/>
        <v>99</v>
      </c>
      <c r="AX38" s="1">
        <f t="shared" si="326"/>
        <v>99.5</v>
      </c>
      <c r="AY38" s="1">
        <f t="shared" si="326"/>
        <v>100</v>
      </c>
      <c r="AZ38" s="1">
        <f t="shared" si="326"/>
        <v>100</v>
      </c>
      <c r="BA38" s="1">
        <f t="shared" si="326"/>
        <v>100.5</v>
      </c>
      <c r="BB38" s="1">
        <f t="shared" si="326"/>
        <v>101</v>
      </c>
      <c r="BC38" s="1">
        <f t="shared" si="326"/>
        <v>101.5</v>
      </c>
      <c r="BD38" s="1">
        <f t="shared" si="326"/>
        <v>101.5</v>
      </c>
      <c r="BE38" s="1">
        <f t="shared" si="326"/>
        <v>102</v>
      </c>
      <c r="BF38" s="1">
        <f t="shared" si="326"/>
        <v>102.5</v>
      </c>
      <c r="BG38" s="1" t="s">
        <v>7</v>
      </c>
      <c r="BH38" s="1" t="s">
        <v>42</v>
      </c>
      <c r="BI38" s="173">
        <f t="shared" ref="BI38:BV38" si="327">SUMIF($C$37:$BF$37,BI$5,$C38:$BF38)</f>
        <v>76</v>
      </c>
      <c r="BJ38" s="173">
        <f t="shared" si="327"/>
        <v>82</v>
      </c>
      <c r="BK38" s="173">
        <f t="shared" si="327"/>
        <v>86</v>
      </c>
      <c r="BL38" s="173">
        <f t="shared" si="327"/>
        <v>87.5</v>
      </c>
      <c r="BM38" s="173">
        <f t="shared" si="327"/>
        <v>89</v>
      </c>
      <c r="BN38" s="173">
        <f t="shared" si="327"/>
        <v>90.5</v>
      </c>
      <c r="BO38" s="173">
        <f t="shared" si="327"/>
        <v>92</v>
      </c>
      <c r="BP38" s="173">
        <f t="shared" si="327"/>
        <v>93.5</v>
      </c>
      <c r="BQ38" s="173">
        <f t="shared" si="327"/>
        <v>95</v>
      </c>
      <c r="BR38" s="173">
        <f t="shared" si="327"/>
        <v>96.5</v>
      </c>
      <c r="BS38" s="173">
        <f t="shared" si="327"/>
        <v>98</v>
      </c>
      <c r="BT38" s="173">
        <f t="shared" si="327"/>
        <v>99.5</v>
      </c>
      <c r="BU38" s="173">
        <f t="shared" si="327"/>
        <v>101</v>
      </c>
      <c r="BV38" s="173">
        <f t="shared" si="327"/>
        <v>102.5</v>
      </c>
    </row>
    <row r="39" spans="2:74" ht="20.05" customHeight="1" x14ac:dyDescent="0.4">
      <c r="B39" s="99" t="s">
        <v>49</v>
      </c>
      <c r="C39" s="100">
        <v>1</v>
      </c>
      <c r="D39" s="100">
        <v>0</v>
      </c>
      <c r="E39" s="100">
        <v>3</v>
      </c>
      <c r="F39" s="100">
        <v>2</v>
      </c>
      <c r="G39" s="100">
        <v>4</v>
      </c>
      <c r="H39" s="100">
        <v>-5</v>
      </c>
      <c r="I39" s="100">
        <v>5</v>
      </c>
      <c r="J39" s="100">
        <v>2</v>
      </c>
      <c r="K39" s="100">
        <v>3</v>
      </c>
      <c r="L39" s="100">
        <v>0</v>
      </c>
      <c r="M39" s="101">
        <v>0.5</v>
      </c>
      <c r="N39" s="102">
        <v>0.5</v>
      </c>
      <c r="O39" s="102">
        <v>0.5</v>
      </c>
      <c r="P39" s="102">
        <v>0</v>
      </c>
      <c r="Q39" s="102">
        <v>0.5</v>
      </c>
      <c r="R39" s="102">
        <v>0.5</v>
      </c>
      <c r="S39" s="102">
        <v>0.5</v>
      </c>
      <c r="T39" s="102">
        <v>0</v>
      </c>
      <c r="U39" s="102">
        <v>0.5</v>
      </c>
      <c r="V39" s="102">
        <v>0.5</v>
      </c>
      <c r="W39" s="102">
        <v>0.5</v>
      </c>
      <c r="X39" s="102">
        <v>0</v>
      </c>
      <c r="Y39" s="102">
        <v>0.5</v>
      </c>
      <c r="Z39" s="102">
        <v>0.5</v>
      </c>
      <c r="AA39" s="102">
        <v>0.5</v>
      </c>
      <c r="AB39" s="102">
        <v>0</v>
      </c>
      <c r="AC39" s="102">
        <v>0.5</v>
      </c>
      <c r="AD39" s="102">
        <v>0.5</v>
      </c>
      <c r="AE39" s="102">
        <v>0.5</v>
      </c>
      <c r="AF39" s="102">
        <v>0</v>
      </c>
      <c r="AG39" s="102">
        <v>0.5</v>
      </c>
      <c r="AH39" s="102">
        <v>0.5</v>
      </c>
      <c r="AI39" s="102">
        <v>0.5</v>
      </c>
      <c r="AJ39" s="102">
        <v>0</v>
      </c>
      <c r="AK39" s="102">
        <v>0.5</v>
      </c>
      <c r="AL39" s="102">
        <v>0.5</v>
      </c>
      <c r="AM39" s="102">
        <v>0.5</v>
      </c>
      <c r="AN39" s="102">
        <v>0</v>
      </c>
      <c r="AO39" s="102">
        <v>0.5</v>
      </c>
      <c r="AP39" s="102">
        <v>0.5</v>
      </c>
      <c r="AQ39" s="102">
        <v>0.5</v>
      </c>
      <c r="AR39" s="102">
        <v>0</v>
      </c>
      <c r="AS39" s="102">
        <v>0.5</v>
      </c>
      <c r="AT39" s="102">
        <v>0.5</v>
      </c>
      <c r="AU39" s="102">
        <v>0.5</v>
      </c>
      <c r="AV39" s="102">
        <v>0</v>
      </c>
      <c r="AW39" s="102">
        <v>0.5</v>
      </c>
      <c r="AX39" s="102">
        <v>0.5</v>
      </c>
      <c r="AY39" s="102">
        <v>0.5</v>
      </c>
      <c r="AZ39" s="102">
        <v>0</v>
      </c>
      <c r="BA39" s="102">
        <v>0.5</v>
      </c>
      <c r="BB39" s="102">
        <v>0.5</v>
      </c>
      <c r="BC39" s="102">
        <v>0.5</v>
      </c>
      <c r="BD39" s="102">
        <v>0</v>
      </c>
      <c r="BE39" s="102">
        <v>0.5</v>
      </c>
      <c r="BF39" s="102">
        <v>0.5</v>
      </c>
      <c r="BG39" s="1" t="s">
        <v>7</v>
      </c>
      <c r="BH39" s="99" t="s">
        <v>49</v>
      </c>
      <c r="BI39" s="177">
        <f>SUMIF($C$4:$BF$4,BI$5,$C39:$BF39)</f>
        <v>6</v>
      </c>
      <c r="BJ39" s="177">
        <f t="shared" ref="BJ39:BV41" si="328">SUMIF($C$4:$BF$4,BJ$5,$C39:$BF39)</f>
        <v>6</v>
      </c>
      <c r="BK39" s="177">
        <f t="shared" si="328"/>
        <v>4</v>
      </c>
      <c r="BL39" s="177">
        <f t="shared" si="328"/>
        <v>1.5</v>
      </c>
      <c r="BM39" s="177">
        <f t="shared" si="328"/>
        <v>1.5</v>
      </c>
      <c r="BN39" s="177">
        <f t="shared" si="328"/>
        <v>1.5</v>
      </c>
      <c r="BO39" s="177">
        <f t="shared" si="328"/>
        <v>1.5</v>
      </c>
      <c r="BP39" s="177">
        <f t="shared" si="328"/>
        <v>1.5</v>
      </c>
      <c r="BQ39" s="177">
        <f t="shared" si="328"/>
        <v>1.5</v>
      </c>
      <c r="BR39" s="177">
        <f t="shared" si="328"/>
        <v>1.5</v>
      </c>
      <c r="BS39" s="177">
        <f t="shared" si="328"/>
        <v>1.5</v>
      </c>
      <c r="BT39" s="177">
        <f t="shared" si="328"/>
        <v>1.5</v>
      </c>
      <c r="BU39" s="177">
        <f t="shared" si="328"/>
        <v>1.5</v>
      </c>
      <c r="BV39" s="177">
        <f t="shared" si="328"/>
        <v>1.5</v>
      </c>
    </row>
    <row r="40" spans="2:74" ht="20.05" customHeight="1" x14ac:dyDescent="0.4">
      <c r="B40" s="71" t="s">
        <v>44</v>
      </c>
      <c r="C40" s="71">
        <v>104</v>
      </c>
      <c r="D40" s="71">
        <v>114</v>
      </c>
      <c r="E40" s="71">
        <v>129</v>
      </c>
      <c r="F40" s="71">
        <v>139</v>
      </c>
      <c r="G40" s="71">
        <v>160</v>
      </c>
      <c r="H40" s="71">
        <v>156</v>
      </c>
      <c r="I40" s="71">
        <v>171</v>
      </c>
      <c r="J40" s="71">
        <v>184</v>
      </c>
      <c r="K40" s="71">
        <v>206</v>
      </c>
      <c r="L40" s="71">
        <v>215</v>
      </c>
      <c r="M40" s="53">
        <f>L40+M41</f>
        <v>228</v>
      </c>
      <c r="N40" s="71">
        <f>M40+N41</f>
        <v>241</v>
      </c>
      <c r="O40" s="71">
        <f>N40+O41</f>
        <v>259</v>
      </c>
      <c r="P40" s="71">
        <f t="shared" ref="P40:BF40" si="329">O40+P41</f>
        <v>269</v>
      </c>
      <c r="Q40" s="71">
        <f t="shared" si="329"/>
        <v>282</v>
      </c>
      <c r="R40" s="71">
        <f t="shared" si="329"/>
        <v>295</v>
      </c>
      <c r="S40" s="71">
        <f t="shared" si="329"/>
        <v>311</v>
      </c>
      <c r="T40" s="71">
        <f t="shared" si="329"/>
        <v>319</v>
      </c>
      <c r="U40" s="71">
        <f t="shared" si="329"/>
        <v>330</v>
      </c>
      <c r="V40" s="71">
        <f t="shared" si="329"/>
        <v>341</v>
      </c>
      <c r="W40" s="71">
        <f t="shared" si="329"/>
        <v>354</v>
      </c>
      <c r="X40" s="71">
        <f t="shared" si="329"/>
        <v>360</v>
      </c>
      <c r="Y40" s="71">
        <f t="shared" si="329"/>
        <v>369</v>
      </c>
      <c r="Z40" s="71">
        <f t="shared" si="329"/>
        <v>378</v>
      </c>
      <c r="AA40" s="71">
        <f t="shared" si="329"/>
        <v>388</v>
      </c>
      <c r="AB40" s="71">
        <f t="shared" si="329"/>
        <v>392.5</v>
      </c>
      <c r="AC40" s="71">
        <f t="shared" si="329"/>
        <v>400</v>
      </c>
      <c r="AD40" s="71">
        <f t="shared" si="329"/>
        <v>407.5</v>
      </c>
      <c r="AE40" s="71">
        <f t="shared" si="329"/>
        <v>415.5</v>
      </c>
      <c r="AF40" s="71">
        <f t="shared" si="329"/>
        <v>418.5</v>
      </c>
      <c r="AG40" s="71">
        <f t="shared" si="329"/>
        <v>424.5</v>
      </c>
      <c r="AH40" s="71">
        <f t="shared" si="329"/>
        <v>430.5</v>
      </c>
      <c r="AI40" s="71">
        <f t="shared" si="329"/>
        <v>437.5</v>
      </c>
      <c r="AJ40" s="71">
        <f t="shared" si="329"/>
        <v>440</v>
      </c>
      <c r="AK40" s="71">
        <f t="shared" si="329"/>
        <v>445.5</v>
      </c>
      <c r="AL40" s="71">
        <f t="shared" si="329"/>
        <v>451</v>
      </c>
      <c r="AM40" s="71">
        <f t="shared" si="329"/>
        <v>457</v>
      </c>
      <c r="AN40" s="71">
        <f t="shared" si="329"/>
        <v>459.25</v>
      </c>
      <c r="AO40" s="71">
        <f t="shared" si="329"/>
        <v>464.5</v>
      </c>
      <c r="AP40" s="71">
        <f t="shared" si="329"/>
        <v>469.75</v>
      </c>
      <c r="AQ40" s="71">
        <f t="shared" si="329"/>
        <v>474.75</v>
      </c>
      <c r="AR40" s="71">
        <f t="shared" si="329"/>
        <v>476.75</v>
      </c>
      <c r="AS40" s="71">
        <f t="shared" si="329"/>
        <v>481.75</v>
      </c>
      <c r="AT40" s="71">
        <f t="shared" si="329"/>
        <v>486.75</v>
      </c>
      <c r="AU40" s="71">
        <f t="shared" si="329"/>
        <v>491.75</v>
      </c>
      <c r="AV40" s="71">
        <f t="shared" si="329"/>
        <v>493.75</v>
      </c>
      <c r="AW40" s="71">
        <f t="shared" si="329"/>
        <v>498.75</v>
      </c>
      <c r="AX40" s="71">
        <f t="shared" si="329"/>
        <v>503.75</v>
      </c>
      <c r="AY40" s="71">
        <f t="shared" si="329"/>
        <v>508.75</v>
      </c>
      <c r="AZ40" s="71">
        <f t="shared" si="329"/>
        <v>510.75</v>
      </c>
      <c r="BA40" s="71">
        <f t="shared" si="329"/>
        <v>515.75</v>
      </c>
      <c r="BB40" s="71">
        <f t="shared" si="329"/>
        <v>520.75</v>
      </c>
      <c r="BC40" s="71">
        <f t="shared" si="329"/>
        <v>525.75</v>
      </c>
      <c r="BD40" s="71">
        <f t="shared" si="329"/>
        <v>527.75</v>
      </c>
      <c r="BE40" s="71">
        <f t="shared" si="329"/>
        <v>532.75</v>
      </c>
      <c r="BF40" s="71">
        <f t="shared" si="329"/>
        <v>537.75</v>
      </c>
      <c r="BG40" s="1" t="s">
        <v>7</v>
      </c>
      <c r="BH40" s="71" t="s">
        <v>44</v>
      </c>
      <c r="BI40" s="173">
        <f t="shared" ref="BI40:BV40" si="330">SUMIF($C$37:$BF$37,BI$5,$C40:$BF40)</f>
        <v>139</v>
      </c>
      <c r="BJ40" s="173">
        <f t="shared" si="330"/>
        <v>184</v>
      </c>
      <c r="BK40" s="173">
        <f t="shared" si="330"/>
        <v>241</v>
      </c>
      <c r="BL40" s="173">
        <f t="shared" si="330"/>
        <v>295</v>
      </c>
      <c r="BM40" s="173">
        <f t="shared" si="330"/>
        <v>341</v>
      </c>
      <c r="BN40" s="173">
        <f t="shared" si="330"/>
        <v>378</v>
      </c>
      <c r="BO40" s="173">
        <f t="shared" si="330"/>
        <v>407.5</v>
      </c>
      <c r="BP40" s="173">
        <f t="shared" si="330"/>
        <v>430.5</v>
      </c>
      <c r="BQ40" s="173">
        <f t="shared" si="330"/>
        <v>451</v>
      </c>
      <c r="BR40" s="173">
        <f t="shared" si="330"/>
        <v>469.75</v>
      </c>
      <c r="BS40" s="173">
        <f t="shared" si="330"/>
        <v>486.75</v>
      </c>
      <c r="BT40" s="173">
        <f t="shared" si="330"/>
        <v>503.75</v>
      </c>
      <c r="BU40" s="173">
        <f t="shared" si="330"/>
        <v>520.75</v>
      </c>
      <c r="BV40" s="173">
        <f t="shared" si="330"/>
        <v>537.75</v>
      </c>
    </row>
    <row r="41" spans="2:74" ht="20.05" customHeight="1" x14ac:dyDescent="0.4">
      <c r="B41" s="95" t="s">
        <v>49</v>
      </c>
      <c r="C41" s="96">
        <v>14</v>
      </c>
      <c r="D41" s="96">
        <v>10</v>
      </c>
      <c r="E41" s="96">
        <v>15</v>
      </c>
      <c r="F41" s="96">
        <v>10</v>
      </c>
      <c r="G41" s="96">
        <v>21</v>
      </c>
      <c r="H41" s="96">
        <v>-4</v>
      </c>
      <c r="I41" s="96">
        <v>15</v>
      </c>
      <c r="J41" s="96">
        <v>13</v>
      </c>
      <c r="K41" s="96">
        <v>22</v>
      </c>
      <c r="L41" s="96">
        <v>9</v>
      </c>
      <c r="M41" s="97">
        <v>13</v>
      </c>
      <c r="N41" s="98">
        <v>13</v>
      </c>
      <c r="O41" s="98">
        <v>18</v>
      </c>
      <c r="P41" s="98">
        <v>10</v>
      </c>
      <c r="Q41" s="98">
        <v>13</v>
      </c>
      <c r="R41" s="98">
        <v>13</v>
      </c>
      <c r="S41" s="98">
        <f>O41-2</f>
        <v>16</v>
      </c>
      <c r="T41" s="98">
        <f t="shared" ref="T41:V41" si="331">P41-2</f>
        <v>8</v>
      </c>
      <c r="U41" s="98">
        <f t="shared" si="331"/>
        <v>11</v>
      </c>
      <c r="V41" s="98">
        <f t="shared" si="331"/>
        <v>11</v>
      </c>
      <c r="W41" s="98">
        <f>S41-3</f>
        <v>13</v>
      </c>
      <c r="X41" s="98">
        <f>T41-2</f>
        <v>6</v>
      </c>
      <c r="Y41" s="98">
        <f t="shared" ref="Y41:Z41" si="332">U41-2</f>
        <v>9</v>
      </c>
      <c r="Z41" s="98">
        <f t="shared" si="332"/>
        <v>9</v>
      </c>
      <c r="AA41" s="98">
        <f>W41-3</f>
        <v>10</v>
      </c>
      <c r="AB41" s="98">
        <f>X41-1.5</f>
        <v>4.5</v>
      </c>
      <c r="AC41" s="98">
        <f t="shared" ref="AC41:AD41" si="333">Y41-1.5</f>
        <v>7.5</v>
      </c>
      <c r="AD41" s="98">
        <f t="shared" si="333"/>
        <v>7.5</v>
      </c>
      <c r="AE41" s="98">
        <f>AA41-2</f>
        <v>8</v>
      </c>
      <c r="AF41" s="98">
        <f>AB41-1.5</f>
        <v>3</v>
      </c>
      <c r="AG41" s="98">
        <f t="shared" ref="AG41:AH41" si="334">AC41-1.5</f>
        <v>6</v>
      </c>
      <c r="AH41" s="98">
        <f t="shared" si="334"/>
        <v>6</v>
      </c>
      <c r="AI41" s="98">
        <f>AE41-1</f>
        <v>7</v>
      </c>
      <c r="AJ41" s="98">
        <f>AF41-0.5</f>
        <v>2.5</v>
      </c>
      <c r="AK41" s="98">
        <f t="shared" ref="AK41:AL41" si="335">AG41-0.5</f>
        <v>5.5</v>
      </c>
      <c r="AL41" s="98">
        <f t="shared" si="335"/>
        <v>5.5</v>
      </c>
      <c r="AM41" s="98">
        <v>6</v>
      </c>
      <c r="AN41" s="98">
        <v>2.25</v>
      </c>
      <c r="AO41" s="98">
        <v>5.25</v>
      </c>
      <c r="AP41" s="98">
        <v>5.25</v>
      </c>
      <c r="AQ41" s="98">
        <v>5</v>
      </c>
      <c r="AR41" s="98">
        <v>2</v>
      </c>
      <c r="AS41" s="98">
        <v>5</v>
      </c>
      <c r="AT41" s="98">
        <v>5</v>
      </c>
      <c r="AU41" s="98">
        <v>5</v>
      </c>
      <c r="AV41" s="98">
        <v>2</v>
      </c>
      <c r="AW41" s="98">
        <v>5</v>
      </c>
      <c r="AX41" s="98">
        <v>5</v>
      </c>
      <c r="AY41" s="98">
        <v>5</v>
      </c>
      <c r="AZ41" s="98">
        <v>2</v>
      </c>
      <c r="BA41" s="98">
        <v>5</v>
      </c>
      <c r="BB41" s="98">
        <v>5</v>
      </c>
      <c r="BC41" s="98">
        <v>5</v>
      </c>
      <c r="BD41" s="98">
        <v>2</v>
      </c>
      <c r="BE41" s="98">
        <v>5</v>
      </c>
      <c r="BF41" s="98">
        <v>5</v>
      </c>
      <c r="BG41" s="1" t="s">
        <v>7</v>
      </c>
      <c r="BH41" s="95" t="s">
        <v>49</v>
      </c>
      <c r="BI41" s="85">
        <f>SUMIF($C$4:$BF$4,BI$5,$C41:$BF41)</f>
        <v>49</v>
      </c>
      <c r="BJ41" s="85">
        <f t="shared" si="328"/>
        <v>45</v>
      </c>
      <c r="BK41" s="85">
        <f t="shared" si="328"/>
        <v>57</v>
      </c>
      <c r="BL41" s="85">
        <f t="shared" si="328"/>
        <v>54</v>
      </c>
      <c r="BM41" s="85">
        <f t="shared" si="328"/>
        <v>46</v>
      </c>
      <c r="BN41" s="85">
        <f t="shared" si="328"/>
        <v>37</v>
      </c>
      <c r="BO41" s="85">
        <f t="shared" si="328"/>
        <v>29.5</v>
      </c>
      <c r="BP41" s="85">
        <f t="shared" si="328"/>
        <v>23</v>
      </c>
      <c r="BQ41" s="85">
        <f t="shared" si="328"/>
        <v>20.5</v>
      </c>
      <c r="BR41" s="85">
        <f t="shared" si="328"/>
        <v>18.75</v>
      </c>
      <c r="BS41" s="85">
        <f t="shared" si="328"/>
        <v>17</v>
      </c>
      <c r="BT41" s="85">
        <f t="shared" si="328"/>
        <v>17</v>
      </c>
      <c r="BU41" s="85">
        <f t="shared" si="328"/>
        <v>17</v>
      </c>
      <c r="BV41" s="85">
        <f t="shared" si="328"/>
        <v>17</v>
      </c>
    </row>
    <row r="42" spans="2:74" ht="20.05" customHeight="1" x14ac:dyDescent="0.4">
      <c r="B42" s="1" t="s">
        <v>48</v>
      </c>
      <c r="C42" s="1">
        <v>175</v>
      </c>
      <c r="D42" s="1">
        <v>185</v>
      </c>
      <c r="E42" s="1">
        <v>203</v>
      </c>
      <c r="F42" s="1">
        <v>215</v>
      </c>
      <c r="G42" s="1">
        <v>240</v>
      </c>
      <c r="H42" s="1">
        <v>231</v>
      </c>
      <c r="I42" s="1">
        <v>251</v>
      </c>
      <c r="J42" s="1">
        <v>266</v>
      </c>
      <c r="K42" s="1">
        <v>291</v>
      </c>
      <c r="L42" s="1">
        <v>300</v>
      </c>
      <c r="M42" s="53">
        <f>M38+M40</f>
        <v>313.5</v>
      </c>
      <c r="N42" s="1">
        <f>N38+N40</f>
        <v>327</v>
      </c>
      <c r="O42" s="72">
        <f>O38+O40</f>
        <v>345.5</v>
      </c>
      <c r="P42" s="72">
        <f t="shared" ref="P42:BF42" si="336">P38+P40</f>
        <v>355.5</v>
      </c>
      <c r="Q42" s="72">
        <f t="shared" si="336"/>
        <v>369</v>
      </c>
      <c r="R42" s="72">
        <f t="shared" si="336"/>
        <v>382.5</v>
      </c>
      <c r="S42" s="72">
        <f t="shared" si="336"/>
        <v>399</v>
      </c>
      <c r="T42" s="72">
        <f t="shared" si="336"/>
        <v>407</v>
      </c>
      <c r="U42" s="72">
        <f t="shared" si="336"/>
        <v>418.5</v>
      </c>
      <c r="V42" s="72">
        <f t="shared" si="336"/>
        <v>430</v>
      </c>
      <c r="W42" s="72">
        <f t="shared" si="336"/>
        <v>443.5</v>
      </c>
      <c r="X42" s="72">
        <f t="shared" si="336"/>
        <v>449.5</v>
      </c>
      <c r="Y42" s="72">
        <f t="shared" si="336"/>
        <v>459</v>
      </c>
      <c r="Z42" s="72">
        <f t="shared" si="336"/>
        <v>468.5</v>
      </c>
      <c r="AA42" s="72">
        <f t="shared" si="336"/>
        <v>479</v>
      </c>
      <c r="AB42" s="72">
        <f t="shared" si="336"/>
        <v>483.5</v>
      </c>
      <c r="AC42" s="72">
        <f t="shared" si="336"/>
        <v>491.5</v>
      </c>
      <c r="AD42" s="72">
        <f t="shared" si="336"/>
        <v>499.5</v>
      </c>
      <c r="AE42" s="72">
        <f t="shared" si="336"/>
        <v>508</v>
      </c>
      <c r="AF42" s="72">
        <f t="shared" si="336"/>
        <v>511</v>
      </c>
      <c r="AG42" s="72">
        <f t="shared" si="336"/>
        <v>517.5</v>
      </c>
      <c r="AH42" s="72">
        <f t="shared" si="336"/>
        <v>524</v>
      </c>
      <c r="AI42" s="72">
        <f t="shared" si="336"/>
        <v>531.5</v>
      </c>
      <c r="AJ42" s="72">
        <f t="shared" si="336"/>
        <v>534</v>
      </c>
      <c r="AK42" s="72">
        <f t="shared" si="336"/>
        <v>540</v>
      </c>
      <c r="AL42" s="72">
        <f t="shared" si="336"/>
        <v>546</v>
      </c>
      <c r="AM42" s="72">
        <f t="shared" si="336"/>
        <v>552.5</v>
      </c>
      <c r="AN42" s="72">
        <f t="shared" si="336"/>
        <v>554.75</v>
      </c>
      <c r="AO42" s="72">
        <f t="shared" si="336"/>
        <v>560.5</v>
      </c>
      <c r="AP42" s="72">
        <f t="shared" si="336"/>
        <v>566.25</v>
      </c>
      <c r="AQ42" s="72">
        <f t="shared" si="336"/>
        <v>571.75</v>
      </c>
      <c r="AR42" s="72">
        <f t="shared" si="336"/>
        <v>573.75</v>
      </c>
      <c r="AS42" s="72">
        <f t="shared" si="336"/>
        <v>579.25</v>
      </c>
      <c r="AT42" s="72">
        <f t="shared" si="336"/>
        <v>584.75</v>
      </c>
      <c r="AU42" s="72">
        <f t="shared" si="336"/>
        <v>590.25</v>
      </c>
      <c r="AV42" s="72">
        <f t="shared" si="336"/>
        <v>592.25</v>
      </c>
      <c r="AW42" s="72">
        <f t="shared" si="336"/>
        <v>597.75</v>
      </c>
      <c r="AX42" s="72">
        <f t="shared" si="336"/>
        <v>603.25</v>
      </c>
      <c r="AY42" s="72">
        <f t="shared" si="336"/>
        <v>608.75</v>
      </c>
      <c r="AZ42" s="72">
        <f t="shared" si="336"/>
        <v>610.75</v>
      </c>
      <c r="BA42" s="72">
        <f t="shared" si="336"/>
        <v>616.25</v>
      </c>
      <c r="BB42" s="72">
        <f t="shared" si="336"/>
        <v>621.75</v>
      </c>
      <c r="BC42" s="72">
        <f t="shared" si="336"/>
        <v>627.25</v>
      </c>
      <c r="BD42" s="72">
        <f t="shared" si="336"/>
        <v>629.25</v>
      </c>
      <c r="BE42" s="72">
        <f t="shared" si="336"/>
        <v>634.75</v>
      </c>
      <c r="BF42" s="72">
        <f t="shared" si="336"/>
        <v>640.25</v>
      </c>
      <c r="BG42" s="1" t="s">
        <v>7</v>
      </c>
      <c r="BH42" s="1" t="s">
        <v>48</v>
      </c>
      <c r="BI42" s="173">
        <f t="shared" ref="BI42:BV42" si="337">SUMIF($C$37:$BF$37,BI$5,$C42:$BF42)</f>
        <v>215</v>
      </c>
      <c r="BJ42" s="173">
        <f t="shared" si="337"/>
        <v>266</v>
      </c>
      <c r="BK42" s="173">
        <f t="shared" si="337"/>
        <v>327</v>
      </c>
      <c r="BL42" s="173">
        <f t="shared" si="337"/>
        <v>382.5</v>
      </c>
      <c r="BM42" s="173">
        <f t="shared" si="337"/>
        <v>430</v>
      </c>
      <c r="BN42" s="173">
        <f t="shared" si="337"/>
        <v>468.5</v>
      </c>
      <c r="BO42" s="173">
        <f t="shared" si="337"/>
        <v>499.5</v>
      </c>
      <c r="BP42" s="173">
        <f t="shared" si="337"/>
        <v>524</v>
      </c>
      <c r="BQ42" s="173">
        <f t="shared" si="337"/>
        <v>546</v>
      </c>
      <c r="BR42" s="173">
        <f t="shared" si="337"/>
        <v>566.25</v>
      </c>
      <c r="BS42" s="173">
        <f t="shared" si="337"/>
        <v>584.75</v>
      </c>
      <c r="BT42" s="173">
        <f t="shared" si="337"/>
        <v>603.25</v>
      </c>
      <c r="BU42" s="173">
        <f t="shared" si="337"/>
        <v>621.75</v>
      </c>
      <c r="BV42" s="173">
        <f t="shared" si="337"/>
        <v>640.25</v>
      </c>
    </row>
    <row r="43" spans="2:74" ht="20.05" customHeight="1" x14ac:dyDescent="0.4">
      <c r="B43" s="7" t="s">
        <v>3</v>
      </c>
      <c r="D43" s="5">
        <f>D42/C42-1</f>
        <v>5.7142857142857162E-2</v>
      </c>
      <c r="E43" s="5">
        <f t="shared" ref="E43:BF43" si="338">E42/D42-1</f>
        <v>9.7297297297297192E-2</v>
      </c>
      <c r="F43" s="5">
        <f t="shared" si="338"/>
        <v>5.9113300492610765E-2</v>
      </c>
      <c r="G43" s="5">
        <f t="shared" si="338"/>
        <v>0.11627906976744184</v>
      </c>
      <c r="H43" s="5">
        <f t="shared" si="338"/>
        <v>-3.7499999999999978E-2</v>
      </c>
      <c r="I43" s="5">
        <f t="shared" si="338"/>
        <v>8.6580086580086535E-2</v>
      </c>
      <c r="J43" s="5">
        <f t="shared" si="338"/>
        <v>5.9760956175298752E-2</v>
      </c>
      <c r="K43" s="5">
        <f t="shared" si="338"/>
        <v>9.3984962406014949E-2</v>
      </c>
      <c r="L43" s="5">
        <f t="shared" si="338"/>
        <v>3.0927835051546282E-2</v>
      </c>
      <c r="M43" s="52">
        <f t="shared" si="338"/>
        <v>4.4999999999999929E-2</v>
      </c>
      <c r="N43" s="5">
        <f t="shared" si="338"/>
        <v>4.3062200956937691E-2</v>
      </c>
      <c r="O43" s="5">
        <f t="shared" si="338"/>
        <v>5.657492354740068E-2</v>
      </c>
      <c r="P43" s="5">
        <f t="shared" si="338"/>
        <v>2.8943560057887119E-2</v>
      </c>
      <c r="Q43" s="5">
        <f t="shared" si="338"/>
        <v>3.7974683544303778E-2</v>
      </c>
      <c r="R43" s="5">
        <f t="shared" si="338"/>
        <v>3.6585365853658569E-2</v>
      </c>
      <c r="S43" s="5">
        <f t="shared" si="338"/>
        <v>4.3137254901960853E-2</v>
      </c>
      <c r="T43" s="5">
        <f t="shared" si="338"/>
        <v>2.0050125313283207E-2</v>
      </c>
      <c r="U43" s="5">
        <f t="shared" si="338"/>
        <v>2.825552825552835E-2</v>
      </c>
      <c r="V43" s="5">
        <f t="shared" si="338"/>
        <v>2.7479091995221028E-2</v>
      </c>
      <c r="W43" s="5">
        <f t="shared" si="338"/>
        <v>3.1395348837209403E-2</v>
      </c>
      <c r="X43" s="5">
        <f t="shared" si="338"/>
        <v>1.3528748590755368E-2</v>
      </c>
      <c r="Y43" s="5">
        <f t="shared" si="338"/>
        <v>2.1134593993325845E-2</v>
      </c>
      <c r="Z43" s="5">
        <f t="shared" si="338"/>
        <v>2.0697167755991286E-2</v>
      </c>
      <c r="AA43" s="5">
        <f t="shared" si="338"/>
        <v>2.2411953041622246E-2</v>
      </c>
      <c r="AB43" s="5">
        <f t="shared" si="338"/>
        <v>9.394572025052117E-3</v>
      </c>
      <c r="AC43" s="5">
        <f t="shared" si="338"/>
        <v>1.6546018614270963E-2</v>
      </c>
      <c r="AD43" s="5">
        <f t="shared" si="338"/>
        <v>1.6276703967446515E-2</v>
      </c>
      <c r="AE43" s="5">
        <f t="shared" si="338"/>
        <v>1.7017017017016967E-2</v>
      </c>
      <c r="AF43" s="5">
        <f t="shared" si="338"/>
        <v>5.9055118110236116E-3</v>
      </c>
      <c r="AG43" s="5">
        <f t="shared" si="338"/>
        <v>1.2720156555773077E-2</v>
      </c>
      <c r="AH43" s="5">
        <f t="shared" si="338"/>
        <v>1.2560386473430052E-2</v>
      </c>
      <c r="AI43" s="5">
        <f t="shared" si="338"/>
        <v>1.4312977099236734E-2</v>
      </c>
      <c r="AJ43" s="5">
        <f t="shared" si="338"/>
        <v>4.7036688617121403E-3</v>
      </c>
      <c r="AK43" s="5">
        <f t="shared" si="338"/>
        <v>1.1235955056179803E-2</v>
      </c>
      <c r="AL43" s="5">
        <f t="shared" si="338"/>
        <v>1.1111111111111072E-2</v>
      </c>
      <c r="AM43" s="5">
        <f t="shared" si="338"/>
        <v>1.1904761904761862E-2</v>
      </c>
      <c r="AN43" s="5">
        <f t="shared" si="338"/>
        <v>4.0723981900452344E-3</v>
      </c>
      <c r="AO43" s="5">
        <f t="shared" si="338"/>
        <v>1.0365029292474182E-2</v>
      </c>
      <c r="AP43" s="5">
        <f t="shared" si="338"/>
        <v>1.0258697591436272E-2</v>
      </c>
      <c r="AQ43" s="5">
        <f t="shared" si="338"/>
        <v>9.7130242825607116E-3</v>
      </c>
      <c r="AR43" s="5">
        <f t="shared" si="338"/>
        <v>3.4980323567992411E-3</v>
      </c>
      <c r="AS43" s="5">
        <f t="shared" si="338"/>
        <v>9.5860566448802143E-3</v>
      </c>
      <c r="AT43" s="5">
        <f t="shared" si="338"/>
        <v>9.495036685368996E-3</v>
      </c>
      <c r="AU43" s="5">
        <f t="shared" si="338"/>
        <v>9.4057289439930525E-3</v>
      </c>
      <c r="AV43" s="5">
        <f t="shared" si="338"/>
        <v>3.3883947479882437E-3</v>
      </c>
      <c r="AW43" s="5">
        <f t="shared" si="338"/>
        <v>9.2866188265090521E-3</v>
      </c>
      <c r="AX43" s="5">
        <f t="shared" si="338"/>
        <v>9.2011710581347828E-3</v>
      </c>
      <c r="AY43" s="5">
        <f t="shared" si="338"/>
        <v>9.1172813924575991E-3</v>
      </c>
      <c r="AZ43" s="5">
        <f t="shared" si="338"/>
        <v>3.2854209445585258E-3</v>
      </c>
      <c r="BA43" s="5">
        <f t="shared" si="338"/>
        <v>9.0053213262382137E-3</v>
      </c>
      <c r="BB43" s="5">
        <f t="shared" si="338"/>
        <v>8.9249492900609351E-3</v>
      </c>
      <c r="BC43" s="5">
        <f t="shared" si="338"/>
        <v>8.8459991958182993E-3</v>
      </c>
      <c r="BD43" s="5">
        <f t="shared" si="338"/>
        <v>3.1885213232363263E-3</v>
      </c>
      <c r="BE43" s="5">
        <f t="shared" si="338"/>
        <v>8.7405641636868481E-3</v>
      </c>
      <c r="BF43" s="5">
        <f t="shared" si="338"/>
        <v>8.6648286727057933E-3</v>
      </c>
      <c r="BG43" s="1" t="s">
        <v>7</v>
      </c>
      <c r="BH43" s="7" t="s">
        <v>3</v>
      </c>
    </row>
    <row r="44" spans="2:74" ht="20.05" customHeight="1" x14ac:dyDescent="0.4">
      <c r="B44" s="7" t="s">
        <v>4</v>
      </c>
      <c r="C44" s="2"/>
      <c r="D44" s="2"/>
      <c r="E44" s="2"/>
      <c r="F44" s="2"/>
      <c r="G44" s="4">
        <f>G42/C42-1</f>
        <v>0.37142857142857144</v>
      </c>
      <c r="H44" s="4">
        <f t="shared" ref="H44:BF44" si="339">H42/D42-1</f>
        <v>0.24864864864864855</v>
      </c>
      <c r="I44" s="4">
        <f t="shared" si="339"/>
        <v>0.23645320197044328</v>
      </c>
      <c r="J44" s="4">
        <f t="shared" si="339"/>
        <v>0.23720930232558146</v>
      </c>
      <c r="K44" s="4">
        <f t="shared" si="339"/>
        <v>0.21249999999999991</v>
      </c>
      <c r="L44" s="4">
        <f t="shared" si="339"/>
        <v>0.29870129870129869</v>
      </c>
      <c r="M44" s="50">
        <f t="shared" si="339"/>
        <v>0.24900398406374502</v>
      </c>
      <c r="N44" s="4">
        <f t="shared" si="339"/>
        <v>0.22932330827067671</v>
      </c>
      <c r="O44" s="4">
        <f t="shared" si="339"/>
        <v>0.1872852233676976</v>
      </c>
      <c r="P44" s="4">
        <f t="shared" si="339"/>
        <v>0.18500000000000005</v>
      </c>
      <c r="Q44" s="4">
        <f t="shared" si="339"/>
        <v>0.17703349282296643</v>
      </c>
      <c r="R44" s="4">
        <f t="shared" si="339"/>
        <v>0.16972477064220182</v>
      </c>
      <c r="S44" s="4">
        <f t="shared" si="339"/>
        <v>0.15484804630969617</v>
      </c>
      <c r="T44" s="4">
        <f t="shared" si="339"/>
        <v>0.14486638537271457</v>
      </c>
      <c r="U44" s="4">
        <f t="shared" si="339"/>
        <v>0.13414634146341453</v>
      </c>
      <c r="V44" s="4">
        <f t="shared" si="339"/>
        <v>0.12418300653594772</v>
      </c>
      <c r="W44" s="4">
        <f t="shared" si="339"/>
        <v>0.11152882205513781</v>
      </c>
      <c r="X44" s="4">
        <f t="shared" si="339"/>
        <v>0.10442260442260443</v>
      </c>
      <c r="Y44" s="4">
        <f t="shared" si="339"/>
        <v>9.6774193548387011E-2</v>
      </c>
      <c r="Z44" s="4">
        <f t="shared" si="339"/>
        <v>8.9534883720930214E-2</v>
      </c>
      <c r="AA44" s="4">
        <f t="shared" si="339"/>
        <v>8.0045095828635837E-2</v>
      </c>
      <c r="AB44" s="4">
        <f t="shared" si="339"/>
        <v>7.5639599555061166E-2</v>
      </c>
      <c r="AC44" s="4">
        <f t="shared" si="339"/>
        <v>7.080610021786482E-2</v>
      </c>
      <c r="AD44" s="4">
        <f t="shared" si="339"/>
        <v>6.6168623265741688E-2</v>
      </c>
      <c r="AE44" s="4">
        <f t="shared" si="339"/>
        <v>6.0542797494780753E-2</v>
      </c>
      <c r="AF44" s="4">
        <f t="shared" si="339"/>
        <v>5.6876938986556436E-2</v>
      </c>
      <c r="AG44" s="4">
        <f t="shared" si="339"/>
        <v>5.2899287894201397E-2</v>
      </c>
      <c r="AH44" s="4">
        <f t="shared" si="339"/>
        <v>4.9049049049048943E-2</v>
      </c>
      <c r="AI44" s="4">
        <f t="shared" si="339"/>
        <v>4.6259842519684957E-2</v>
      </c>
      <c r="AJ44" s="4">
        <f t="shared" si="339"/>
        <v>4.5009784735812186E-2</v>
      </c>
      <c r="AK44" s="4">
        <f t="shared" si="339"/>
        <v>4.3478260869565188E-2</v>
      </c>
      <c r="AL44" s="4">
        <f t="shared" si="339"/>
        <v>4.1984732824427384E-2</v>
      </c>
      <c r="AM44" s="4">
        <f t="shared" si="339"/>
        <v>3.9510818438381889E-2</v>
      </c>
      <c r="AN44" s="4">
        <f t="shared" si="339"/>
        <v>3.8857677902621734E-2</v>
      </c>
      <c r="AO44" s="4">
        <f t="shared" si="339"/>
        <v>3.7962962962962976E-2</v>
      </c>
      <c r="AP44" s="4">
        <f t="shared" si="339"/>
        <v>3.7087912087912178E-2</v>
      </c>
      <c r="AQ44" s="4">
        <f t="shared" si="339"/>
        <v>3.4841628959276116E-2</v>
      </c>
      <c r="AR44" s="4">
        <f t="shared" si="339"/>
        <v>3.4249662009914417E-2</v>
      </c>
      <c r="AS44" s="4">
        <f t="shared" si="339"/>
        <v>3.3452274754683264E-2</v>
      </c>
      <c r="AT44" s="4">
        <f t="shared" si="339"/>
        <v>3.2671081677704272E-2</v>
      </c>
      <c r="AU44" s="4">
        <f t="shared" si="339"/>
        <v>3.235679930039348E-2</v>
      </c>
      <c r="AV44" s="4">
        <f t="shared" si="339"/>
        <v>3.2244008714596983E-2</v>
      </c>
      <c r="AW44" s="4">
        <f t="shared" si="339"/>
        <v>3.1937850668968482E-2</v>
      </c>
      <c r="AX44" s="4">
        <f t="shared" si="339"/>
        <v>3.1637451902522429E-2</v>
      </c>
      <c r="AY44" s="4">
        <f t="shared" si="339"/>
        <v>3.1342651418890366E-2</v>
      </c>
      <c r="AZ44" s="4">
        <f t="shared" si="339"/>
        <v>3.1236808780076064E-2</v>
      </c>
      <c r="BA44" s="4">
        <f t="shared" si="339"/>
        <v>3.0949393559180249E-2</v>
      </c>
      <c r="BB44" s="4">
        <f t="shared" si="339"/>
        <v>3.0667219229175258E-2</v>
      </c>
      <c r="BC44" s="4">
        <f t="shared" si="339"/>
        <v>3.0390143737166309E-2</v>
      </c>
      <c r="BD44" s="4">
        <f t="shared" si="339"/>
        <v>3.0290626279164901E-2</v>
      </c>
      <c r="BE44" s="4">
        <f t="shared" si="339"/>
        <v>3.0020283975659146E-2</v>
      </c>
      <c r="BF44" s="4">
        <f t="shared" si="339"/>
        <v>2.97547245677523E-2</v>
      </c>
      <c r="BG44" s="1" t="s">
        <v>7</v>
      </c>
      <c r="BH44" s="7" t="s">
        <v>4</v>
      </c>
      <c r="BJ44" s="5">
        <f>BJ42/BI42-1</f>
        <v>0.23720930232558146</v>
      </c>
      <c r="BK44" s="5">
        <f t="shared" ref="BK44:BV44" si="340">BK42/BJ42-1</f>
        <v>0.22932330827067671</v>
      </c>
      <c r="BL44" s="5">
        <f t="shared" si="340"/>
        <v>0.16972477064220182</v>
      </c>
      <c r="BM44" s="5">
        <f t="shared" si="340"/>
        <v>0.12418300653594772</v>
      </c>
      <c r="BN44" s="5">
        <f t="shared" si="340"/>
        <v>8.9534883720930214E-2</v>
      </c>
      <c r="BO44" s="5">
        <f t="shared" si="340"/>
        <v>6.6168623265741688E-2</v>
      </c>
      <c r="BP44" s="5">
        <f t="shared" si="340"/>
        <v>4.9049049049048943E-2</v>
      </c>
      <c r="BQ44" s="5">
        <f t="shared" si="340"/>
        <v>4.1984732824427384E-2</v>
      </c>
      <c r="BR44" s="5">
        <f t="shared" si="340"/>
        <v>3.7087912087912178E-2</v>
      </c>
      <c r="BS44" s="5">
        <f t="shared" si="340"/>
        <v>3.2671081677704272E-2</v>
      </c>
      <c r="BT44" s="5">
        <f t="shared" si="340"/>
        <v>3.1637451902522429E-2</v>
      </c>
      <c r="BU44" s="5">
        <f t="shared" si="340"/>
        <v>3.0667219229175258E-2</v>
      </c>
      <c r="BV44" s="5">
        <f t="shared" si="340"/>
        <v>2.97547245677523E-2</v>
      </c>
    </row>
    <row r="45" spans="2:74" ht="20.05" customHeight="1" x14ac:dyDescent="0.4">
      <c r="B45" s="126" t="s">
        <v>72</v>
      </c>
      <c r="C45" s="63"/>
      <c r="D45" s="63"/>
      <c r="E45" s="63"/>
      <c r="F45" s="63"/>
      <c r="G45" s="127"/>
      <c r="H45" s="127"/>
      <c r="I45" s="127"/>
      <c r="J45" s="127"/>
      <c r="K45" s="127"/>
      <c r="L45" s="127"/>
      <c r="M45" s="128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" t="s">
        <v>7</v>
      </c>
      <c r="BH45" s="126" t="s">
        <v>131</v>
      </c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</row>
    <row r="46" spans="2:74" ht="20.05" customHeight="1" x14ac:dyDescent="0.4">
      <c r="B46" s="1" t="s">
        <v>43</v>
      </c>
      <c r="C46" s="108">
        <v>1.1299999999999999</v>
      </c>
      <c r="D46" s="108">
        <v>1.36</v>
      </c>
      <c r="E46" s="108">
        <v>1.52</v>
      </c>
      <c r="F46" s="108">
        <v>2.17</v>
      </c>
      <c r="G46" s="108">
        <v>1.59</v>
      </c>
      <c r="H46" s="108">
        <v>1.98</v>
      </c>
      <c r="I46" s="108">
        <v>2.33</v>
      </c>
      <c r="J46" s="108">
        <v>3.16</v>
      </c>
      <c r="K46" s="108">
        <v>2.25</v>
      </c>
      <c r="L46" s="108">
        <v>2.8</v>
      </c>
      <c r="M46" s="109">
        <f>I46+M48</f>
        <v>3.34</v>
      </c>
      <c r="N46" s="108">
        <f>J46+N48</f>
        <v>4.3500000000000005</v>
      </c>
      <c r="O46" s="108">
        <f>K46+O48</f>
        <v>3.01</v>
      </c>
      <c r="P46" s="108">
        <f t="shared" ref="P46:AC46" si="341">L46+P48</f>
        <v>3.7199999999999998</v>
      </c>
      <c r="Q46" s="108">
        <f t="shared" si="341"/>
        <v>4.45</v>
      </c>
      <c r="R46" s="108">
        <f t="shared" si="341"/>
        <v>5.6400000000000006</v>
      </c>
      <c r="S46" s="108">
        <f t="shared" si="341"/>
        <v>3.82</v>
      </c>
      <c r="T46" s="108">
        <f t="shared" si="341"/>
        <v>4.6899999999999995</v>
      </c>
      <c r="U46" s="108">
        <f t="shared" si="341"/>
        <v>5.61</v>
      </c>
      <c r="V46" s="108">
        <f t="shared" si="341"/>
        <v>6.98</v>
      </c>
      <c r="W46" s="108">
        <f t="shared" si="341"/>
        <v>4.6549999999999994</v>
      </c>
      <c r="X46" s="108">
        <f t="shared" si="341"/>
        <v>5.6849999999999996</v>
      </c>
      <c r="Y46" s="108">
        <f t="shared" si="341"/>
        <v>6.7949999999999999</v>
      </c>
      <c r="Z46" s="108">
        <f t="shared" si="341"/>
        <v>8.3450000000000006</v>
      </c>
      <c r="AA46" s="108">
        <f t="shared" si="341"/>
        <v>5.4899999999999993</v>
      </c>
      <c r="AB46" s="108">
        <f t="shared" si="341"/>
        <v>6.68</v>
      </c>
      <c r="AC46" s="108">
        <f t="shared" si="341"/>
        <v>7.98</v>
      </c>
      <c r="AD46" s="108">
        <f t="shared" ref="AD46" si="342">Z46+AD48</f>
        <v>9.7100000000000009</v>
      </c>
      <c r="AE46" s="108">
        <f t="shared" ref="AE46" si="343">AA46+AE48</f>
        <v>6.2249999999999996</v>
      </c>
      <c r="AF46" s="108">
        <f t="shared" ref="AF46" si="344">AB46+AF48</f>
        <v>7.5749999999999993</v>
      </c>
      <c r="AG46" s="108">
        <f t="shared" ref="AG46" si="345">AC46+AG48</f>
        <v>9.0650000000000013</v>
      </c>
      <c r="AH46" s="108">
        <f t="shared" ref="AH46" si="346">AD46+AH48</f>
        <v>10.975000000000001</v>
      </c>
      <c r="AI46" s="108">
        <f t="shared" ref="AI46" si="347">AE46+AI48</f>
        <v>6.8599999999999994</v>
      </c>
      <c r="AJ46" s="108">
        <f t="shared" ref="AJ46" si="348">AF46+AJ48</f>
        <v>8.3699999999999992</v>
      </c>
      <c r="AK46" s="108">
        <f t="shared" ref="AK46" si="349">AG46+AK48</f>
        <v>10.050000000000001</v>
      </c>
      <c r="AL46" s="108">
        <f t="shared" ref="AL46" si="350">AH46+AL48</f>
        <v>12.14</v>
      </c>
      <c r="AM46" s="108">
        <f t="shared" ref="AM46" si="351">AI46+AM48</f>
        <v>7.3449999999999998</v>
      </c>
      <c r="AN46" s="108">
        <f t="shared" ref="AN46" si="352">AJ46+AN48</f>
        <v>9.0149999999999988</v>
      </c>
      <c r="AO46" s="108">
        <f t="shared" ref="AO46" si="353">AK46+AO48</f>
        <v>10.885000000000002</v>
      </c>
      <c r="AP46" s="108">
        <f t="shared" ref="AP46" si="354">AL46+AP48</f>
        <v>13.155000000000001</v>
      </c>
      <c r="AQ46" s="108">
        <f t="shared" ref="AQ46" si="355">AM46+AQ48</f>
        <v>7.68</v>
      </c>
      <c r="AR46" s="108">
        <f t="shared" ref="AR46" si="356">AN46+AR48</f>
        <v>9.509999999999998</v>
      </c>
      <c r="AS46" s="108">
        <f t="shared" ref="AS46" si="357">AO46+AS48</f>
        <v>11.570000000000002</v>
      </c>
      <c r="AT46" s="108">
        <f t="shared" ref="AT46" si="358">AP46+AT48</f>
        <v>14.020000000000001</v>
      </c>
      <c r="AU46" s="108">
        <f t="shared" ref="AU46" si="359">AQ46+AU48</f>
        <v>7.8649999999999993</v>
      </c>
      <c r="AV46" s="108">
        <f t="shared" ref="AV46" si="360">AR46+AV48</f>
        <v>9.8549999999999986</v>
      </c>
      <c r="AW46" s="108">
        <f t="shared" ref="AW46" si="361">AS46+AW48</f>
        <v>12.105000000000002</v>
      </c>
      <c r="AX46" s="108">
        <f t="shared" ref="AX46" si="362">AT46+AX48</f>
        <v>14.735000000000001</v>
      </c>
      <c r="AY46" s="108">
        <f t="shared" ref="AY46" si="363">AU46+AY48</f>
        <v>7.8999999999999995</v>
      </c>
      <c r="AZ46" s="108">
        <f t="shared" ref="AZ46" si="364">AV46+AZ48</f>
        <v>10.049999999999999</v>
      </c>
      <c r="BA46" s="108">
        <f t="shared" ref="BA46" si="365">AW46+BA48</f>
        <v>12.490000000000002</v>
      </c>
      <c r="BB46" s="108">
        <f t="shared" ref="BB46" si="366">AX46+BB48</f>
        <v>15.3</v>
      </c>
      <c r="BC46" s="108">
        <f t="shared" ref="BC46" si="367">AY46+BC48</f>
        <v>7.7849999999999993</v>
      </c>
      <c r="BD46" s="108">
        <f t="shared" ref="BD46" si="368">AZ46+BD48</f>
        <v>10.094999999999999</v>
      </c>
      <c r="BE46" s="108">
        <f t="shared" ref="BE46" si="369">BA46+BE48</f>
        <v>12.725000000000001</v>
      </c>
      <c r="BF46" s="108">
        <f t="shared" ref="BF46" si="370">BB46+BF48</f>
        <v>15.715</v>
      </c>
      <c r="BG46" s="1" t="s">
        <v>7</v>
      </c>
      <c r="BH46" s="1" t="s">
        <v>43</v>
      </c>
      <c r="BI46" s="108">
        <f>BI80/BI38/1000</f>
        <v>5.9761842105263154</v>
      </c>
      <c r="BJ46" s="108">
        <f t="shared" ref="BJ46:BV46" si="371">BJ80/BJ38/1000</f>
        <v>8.795365853658538</v>
      </c>
      <c r="BK46" s="108">
        <f t="shared" si="371"/>
        <v>12.661860465116279</v>
      </c>
      <c r="BL46" s="108">
        <f t="shared" si="371"/>
        <v>16.717657142857146</v>
      </c>
      <c r="BM46" s="108">
        <f t="shared" si="371"/>
        <v>20.972865168539325</v>
      </c>
      <c r="BN46" s="108">
        <f t="shared" si="371"/>
        <v>25.328204419889502</v>
      </c>
      <c r="BO46" s="108">
        <f t="shared" si="371"/>
        <v>29.684347826086956</v>
      </c>
      <c r="BP46" s="108">
        <f t="shared" si="371"/>
        <v>33.643930481283427</v>
      </c>
      <c r="BQ46" s="108">
        <f t="shared" si="371"/>
        <v>37.206789473684211</v>
      </c>
      <c r="BR46" s="108">
        <f t="shared" si="371"/>
        <v>40.174067357512953</v>
      </c>
      <c r="BS46" s="108">
        <f t="shared" si="371"/>
        <v>42.545561224489795</v>
      </c>
      <c r="BT46" s="108">
        <f t="shared" si="371"/>
        <v>44.321080402010047</v>
      </c>
      <c r="BU46" s="108">
        <f t="shared" si="371"/>
        <v>45.500445544554459</v>
      </c>
      <c r="BV46" s="108">
        <f t="shared" si="371"/>
        <v>46.083487804878054</v>
      </c>
    </row>
    <row r="47" spans="2:74" ht="20.05" customHeight="1" x14ac:dyDescent="0.4">
      <c r="B47" s="7" t="s">
        <v>50</v>
      </c>
      <c r="C47" s="107">
        <v>-0.47</v>
      </c>
      <c r="D47" s="107">
        <f>D46-C46</f>
        <v>0.2300000000000002</v>
      </c>
      <c r="E47" s="107">
        <f t="shared" ref="E47:L47" si="372">E46-D46</f>
        <v>0.15999999999999992</v>
      </c>
      <c r="F47" s="107">
        <f t="shared" si="372"/>
        <v>0.64999999999999991</v>
      </c>
      <c r="G47" s="107">
        <f t="shared" si="372"/>
        <v>-0.57999999999999985</v>
      </c>
      <c r="H47" s="107">
        <f t="shared" si="372"/>
        <v>0.3899999999999999</v>
      </c>
      <c r="I47" s="107">
        <f t="shared" si="372"/>
        <v>0.35000000000000009</v>
      </c>
      <c r="J47" s="107">
        <f t="shared" si="372"/>
        <v>0.83000000000000007</v>
      </c>
      <c r="K47" s="107">
        <f t="shared" si="372"/>
        <v>-0.91000000000000014</v>
      </c>
      <c r="L47" s="107">
        <f t="shared" si="372"/>
        <v>0.54999999999999982</v>
      </c>
      <c r="M47" s="112">
        <f t="shared" ref="M47" si="373">M46-L46</f>
        <v>0.54</v>
      </c>
      <c r="N47" s="107">
        <f t="shared" ref="N47" si="374">N46-M46</f>
        <v>1.0100000000000007</v>
      </c>
      <c r="O47" s="107">
        <f t="shared" ref="O47" si="375">O46-N46</f>
        <v>-1.3400000000000007</v>
      </c>
      <c r="P47" s="107">
        <f t="shared" ref="P47" si="376">P46-O46</f>
        <v>0.71</v>
      </c>
      <c r="Q47" s="107">
        <f t="shared" ref="Q47" si="377">Q46-P46</f>
        <v>0.73000000000000043</v>
      </c>
      <c r="R47" s="107">
        <f t="shared" ref="R47" si="378">R46-Q46</f>
        <v>1.1900000000000004</v>
      </c>
      <c r="S47" s="107">
        <f t="shared" ref="S47" si="379">S46-R46</f>
        <v>-1.8200000000000007</v>
      </c>
      <c r="T47" s="107">
        <f t="shared" ref="T47" si="380">T46-S46</f>
        <v>0.86999999999999966</v>
      </c>
      <c r="U47" s="107">
        <f t="shared" ref="U47" si="381">U46-T46</f>
        <v>0.92000000000000082</v>
      </c>
      <c r="V47" s="107">
        <f t="shared" ref="V47" si="382">V46-U46</f>
        <v>1.37</v>
      </c>
      <c r="W47" s="107">
        <f t="shared" ref="W47" si="383">W46-V46</f>
        <v>-2.3250000000000011</v>
      </c>
      <c r="X47" s="107">
        <f t="shared" ref="X47" si="384">X46-W46</f>
        <v>1.0300000000000002</v>
      </c>
      <c r="Y47" s="107">
        <f t="shared" ref="Y47" si="385">Y46-X46</f>
        <v>1.1100000000000003</v>
      </c>
      <c r="Z47" s="107">
        <f t="shared" ref="Z47" si="386">Z46-Y46</f>
        <v>1.5500000000000007</v>
      </c>
      <c r="AA47" s="107">
        <f t="shared" ref="AA47" si="387">AA46-Z46</f>
        <v>-2.8550000000000013</v>
      </c>
      <c r="AB47" s="107">
        <f t="shared" ref="AB47" si="388">AB46-AA46</f>
        <v>1.1900000000000004</v>
      </c>
      <c r="AC47" s="107">
        <f t="shared" ref="AC47" si="389">AC46-AB46</f>
        <v>1.3000000000000007</v>
      </c>
      <c r="AD47" s="107">
        <f t="shared" ref="AD47" si="390">AD46-AC46</f>
        <v>1.7300000000000004</v>
      </c>
      <c r="AE47" s="107">
        <f t="shared" ref="AE47" si="391">AE46-AD46</f>
        <v>-3.4850000000000012</v>
      </c>
      <c r="AF47" s="107">
        <f t="shared" ref="AF47" si="392">AF46-AE46</f>
        <v>1.3499999999999996</v>
      </c>
      <c r="AG47" s="107">
        <f t="shared" ref="AG47" si="393">AG46-AF46</f>
        <v>1.490000000000002</v>
      </c>
      <c r="AH47" s="107">
        <f t="shared" ref="AH47" si="394">AH46-AG46</f>
        <v>1.9100000000000001</v>
      </c>
      <c r="AI47" s="107">
        <f t="shared" ref="AI47" si="395">AI46-AH46</f>
        <v>-4.115000000000002</v>
      </c>
      <c r="AJ47" s="107">
        <f t="shared" ref="AJ47" si="396">AJ46-AI46</f>
        <v>1.5099999999999998</v>
      </c>
      <c r="AK47" s="107">
        <f t="shared" ref="AK47" si="397">AK46-AJ46</f>
        <v>1.6800000000000015</v>
      </c>
      <c r="AL47" s="107">
        <f t="shared" ref="AL47" si="398">AL46-AK46</f>
        <v>2.09</v>
      </c>
      <c r="AM47" s="107">
        <f t="shared" ref="AM47" si="399">AM46-AL46</f>
        <v>-4.7950000000000008</v>
      </c>
      <c r="AN47" s="107">
        <f t="shared" ref="AN47" si="400">AN46-AM46</f>
        <v>1.669999999999999</v>
      </c>
      <c r="AO47" s="107">
        <f t="shared" ref="AO47" si="401">AO46-AN46</f>
        <v>1.8700000000000028</v>
      </c>
      <c r="AP47" s="107">
        <f t="shared" ref="AP47" si="402">AP46-AO46</f>
        <v>2.2699999999999996</v>
      </c>
      <c r="AQ47" s="107">
        <f t="shared" ref="AQ47" si="403">AQ46-AP46</f>
        <v>-5.4750000000000014</v>
      </c>
      <c r="AR47" s="107">
        <f t="shared" ref="AR47" si="404">AR46-AQ46</f>
        <v>1.8299999999999983</v>
      </c>
      <c r="AS47" s="107">
        <f t="shared" ref="AS47" si="405">AS46-AR46</f>
        <v>2.0600000000000041</v>
      </c>
      <c r="AT47" s="107">
        <f t="shared" ref="AT47" si="406">AT46-AS46</f>
        <v>2.4499999999999993</v>
      </c>
      <c r="AU47" s="107">
        <f t="shared" ref="AU47" si="407">AU46-AT46</f>
        <v>-6.155000000000002</v>
      </c>
      <c r="AV47" s="107">
        <f t="shared" ref="AV47" si="408">AV46-AU46</f>
        <v>1.9899999999999993</v>
      </c>
      <c r="AW47" s="107">
        <f t="shared" ref="AW47" si="409">AW46-AV46</f>
        <v>2.2500000000000036</v>
      </c>
      <c r="AX47" s="107">
        <f t="shared" ref="AX47" si="410">AX46-AW46</f>
        <v>2.629999999999999</v>
      </c>
      <c r="AY47" s="107">
        <f t="shared" ref="AY47" si="411">AY46-AX46</f>
        <v>-6.8350000000000017</v>
      </c>
      <c r="AZ47" s="107">
        <f t="shared" ref="AZ47" si="412">AZ46-AY46</f>
        <v>2.1499999999999995</v>
      </c>
      <c r="BA47" s="107">
        <f t="shared" ref="BA47" si="413">BA46-AZ46</f>
        <v>2.4400000000000031</v>
      </c>
      <c r="BB47" s="107">
        <f t="shared" ref="BB47" si="414">BB46-BA46</f>
        <v>2.8099999999999987</v>
      </c>
      <c r="BC47" s="107">
        <f t="shared" ref="BC47" si="415">BC46-BB46</f>
        <v>-7.5150000000000015</v>
      </c>
      <c r="BD47" s="107">
        <f t="shared" ref="BD47" si="416">BD46-BC46</f>
        <v>2.3099999999999996</v>
      </c>
      <c r="BE47" s="107">
        <f t="shared" ref="BE47" si="417">BE46-BD46</f>
        <v>2.6300000000000026</v>
      </c>
      <c r="BF47" s="107">
        <f t="shared" ref="BF47" si="418">BF46-BE46</f>
        <v>2.9899999999999984</v>
      </c>
      <c r="BG47" s="1" t="s">
        <v>7</v>
      </c>
      <c r="BH47" s="7" t="s">
        <v>50</v>
      </c>
      <c r="BI47" s="113"/>
      <c r="BJ47" s="113"/>
      <c r="BK47" s="113"/>
      <c r="BL47" s="113"/>
      <c r="BM47" s="113"/>
      <c r="BN47" s="113"/>
      <c r="BO47" s="113"/>
      <c r="BP47" s="113"/>
      <c r="BQ47" s="113"/>
      <c r="BR47" s="113"/>
      <c r="BS47" s="113"/>
      <c r="BT47" s="113"/>
      <c r="BU47" s="113"/>
      <c r="BV47" s="113"/>
    </row>
    <row r="48" spans="2:74" ht="20.05" customHeight="1" x14ac:dyDescent="0.4">
      <c r="B48" s="7" t="s">
        <v>51</v>
      </c>
      <c r="C48" s="107">
        <v>0.39</v>
      </c>
      <c r="D48" s="107">
        <v>0.4</v>
      </c>
      <c r="E48" s="107">
        <v>0.45</v>
      </c>
      <c r="F48" s="107">
        <v>0.56999999999999995</v>
      </c>
      <c r="G48" s="107">
        <f>G46-C46</f>
        <v>0.46000000000000019</v>
      </c>
      <c r="H48" s="107">
        <f t="shared" ref="H48:L48" si="419">H46-D46</f>
        <v>0.61999999999999988</v>
      </c>
      <c r="I48" s="107">
        <f t="shared" si="419"/>
        <v>0.81</v>
      </c>
      <c r="J48" s="107">
        <f t="shared" si="419"/>
        <v>0.99000000000000021</v>
      </c>
      <c r="K48" s="107">
        <f t="shared" si="419"/>
        <v>0.65999999999999992</v>
      </c>
      <c r="L48" s="107">
        <f t="shared" si="419"/>
        <v>0.81999999999999984</v>
      </c>
      <c r="M48" s="118">
        <f>I48+M49</f>
        <v>1.01</v>
      </c>
      <c r="N48" s="119">
        <f>J48+N49</f>
        <v>1.1900000000000002</v>
      </c>
      <c r="O48" s="113">
        <f>K48+O49</f>
        <v>0.7599999999999999</v>
      </c>
      <c r="P48" s="113">
        <f t="shared" ref="P48:BF48" si="420">L48+P49</f>
        <v>0.91999999999999982</v>
      </c>
      <c r="Q48" s="113">
        <f t="shared" si="420"/>
        <v>1.1100000000000001</v>
      </c>
      <c r="R48" s="113">
        <f t="shared" si="420"/>
        <v>1.2900000000000003</v>
      </c>
      <c r="S48" s="113">
        <f t="shared" si="420"/>
        <v>0.80999999999999994</v>
      </c>
      <c r="T48" s="113">
        <f t="shared" si="420"/>
        <v>0.96999999999999986</v>
      </c>
      <c r="U48" s="113">
        <f t="shared" si="420"/>
        <v>1.1600000000000001</v>
      </c>
      <c r="V48" s="113">
        <f t="shared" si="420"/>
        <v>1.3400000000000003</v>
      </c>
      <c r="W48" s="113">
        <f t="shared" si="420"/>
        <v>0.83499999999999996</v>
      </c>
      <c r="X48" s="113">
        <f t="shared" si="420"/>
        <v>0.99499999999999988</v>
      </c>
      <c r="Y48" s="113">
        <f t="shared" si="420"/>
        <v>1.1850000000000001</v>
      </c>
      <c r="Z48" s="113">
        <f t="shared" si="420"/>
        <v>1.3650000000000002</v>
      </c>
      <c r="AA48" s="113">
        <f t="shared" si="420"/>
        <v>0.83499999999999996</v>
      </c>
      <c r="AB48" s="113">
        <f t="shared" si="420"/>
        <v>0.99499999999999988</v>
      </c>
      <c r="AC48" s="113">
        <f t="shared" si="420"/>
        <v>1.1850000000000001</v>
      </c>
      <c r="AD48" s="113">
        <f t="shared" si="420"/>
        <v>1.3650000000000002</v>
      </c>
      <c r="AE48" s="113">
        <f t="shared" si="420"/>
        <v>0.73499999999999999</v>
      </c>
      <c r="AF48" s="113">
        <f t="shared" si="420"/>
        <v>0.89499999999999991</v>
      </c>
      <c r="AG48" s="113">
        <f t="shared" si="420"/>
        <v>1.085</v>
      </c>
      <c r="AH48" s="113">
        <f t="shared" si="420"/>
        <v>1.2650000000000001</v>
      </c>
      <c r="AI48" s="113">
        <f t="shared" si="420"/>
        <v>0.63500000000000001</v>
      </c>
      <c r="AJ48" s="113">
        <f t="shared" si="420"/>
        <v>0.79499999999999993</v>
      </c>
      <c r="AK48" s="113">
        <f t="shared" si="420"/>
        <v>0.98499999999999999</v>
      </c>
      <c r="AL48" s="113">
        <f t="shared" si="420"/>
        <v>1.165</v>
      </c>
      <c r="AM48" s="113">
        <f t="shared" si="420"/>
        <v>0.48499999999999999</v>
      </c>
      <c r="AN48" s="113">
        <f t="shared" si="420"/>
        <v>0.64499999999999991</v>
      </c>
      <c r="AO48" s="113">
        <f t="shared" si="420"/>
        <v>0.83499999999999996</v>
      </c>
      <c r="AP48" s="113">
        <f t="shared" si="420"/>
        <v>1.0150000000000001</v>
      </c>
      <c r="AQ48" s="113">
        <f t="shared" si="420"/>
        <v>0.33499999999999996</v>
      </c>
      <c r="AR48" s="113">
        <f t="shared" si="420"/>
        <v>0.49499999999999988</v>
      </c>
      <c r="AS48" s="113">
        <f t="shared" si="420"/>
        <v>0.68499999999999994</v>
      </c>
      <c r="AT48" s="113">
        <f t="shared" si="420"/>
        <v>0.8650000000000001</v>
      </c>
      <c r="AU48" s="113">
        <f t="shared" si="420"/>
        <v>0.18499999999999997</v>
      </c>
      <c r="AV48" s="113">
        <f t="shared" si="420"/>
        <v>0.34499999999999986</v>
      </c>
      <c r="AW48" s="113">
        <f t="shared" si="420"/>
        <v>0.53499999999999992</v>
      </c>
      <c r="AX48" s="113">
        <f t="shared" si="420"/>
        <v>0.71500000000000008</v>
      </c>
      <c r="AY48" s="113">
        <f t="shared" si="420"/>
        <v>3.4999999999999976E-2</v>
      </c>
      <c r="AZ48" s="113">
        <f t="shared" si="420"/>
        <v>0.19499999999999987</v>
      </c>
      <c r="BA48" s="113">
        <f t="shared" si="420"/>
        <v>0.3849999999999999</v>
      </c>
      <c r="BB48" s="113">
        <f t="shared" si="420"/>
        <v>0.56500000000000006</v>
      </c>
      <c r="BC48" s="113">
        <f t="shared" si="420"/>
        <v>-0.11500000000000002</v>
      </c>
      <c r="BD48" s="113">
        <f t="shared" si="420"/>
        <v>4.4999999999999873E-2</v>
      </c>
      <c r="BE48" s="113">
        <f t="shared" si="420"/>
        <v>0.2349999999999999</v>
      </c>
      <c r="BF48" s="113">
        <f t="shared" si="420"/>
        <v>0.41500000000000004</v>
      </c>
      <c r="BG48" s="1" t="s">
        <v>7</v>
      </c>
      <c r="BH48" s="7" t="s">
        <v>51</v>
      </c>
      <c r="BI48" s="113"/>
      <c r="BJ48" s="113">
        <f>BJ46-BI46</f>
        <v>2.8191816431322225</v>
      </c>
      <c r="BK48" s="113">
        <f t="shared" ref="BK48:BV48" si="421">BK46-BJ46</f>
        <v>3.8664946114577408</v>
      </c>
      <c r="BL48" s="113">
        <f t="shared" si="421"/>
        <v>4.0557966777408669</v>
      </c>
      <c r="BM48" s="113">
        <f t="shared" si="421"/>
        <v>4.2552080256821796</v>
      </c>
      <c r="BN48" s="113">
        <f t="shared" si="421"/>
        <v>4.355339251350177</v>
      </c>
      <c r="BO48" s="113">
        <f t="shared" si="421"/>
        <v>4.3561434061974538</v>
      </c>
      <c r="BP48" s="113">
        <f t="shared" si="421"/>
        <v>3.9595826551964706</v>
      </c>
      <c r="BQ48" s="113">
        <f t="shared" si="421"/>
        <v>3.5628589924007841</v>
      </c>
      <c r="BR48" s="113">
        <f t="shared" si="421"/>
        <v>2.9672778838287428</v>
      </c>
      <c r="BS48" s="113">
        <f t="shared" si="421"/>
        <v>2.3714938669768415</v>
      </c>
      <c r="BT48" s="113">
        <f t="shared" si="421"/>
        <v>1.7755191775202519</v>
      </c>
      <c r="BU48" s="113">
        <f t="shared" si="421"/>
        <v>1.1793651425444125</v>
      </c>
      <c r="BV48" s="113">
        <f t="shared" si="421"/>
        <v>0.58304226032359452</v>
      </c>
    </row>
    <row r="49" spans="2:74" ht="20.05" customHeight="1" x14ac:dyDescent="0.4">
      <c r="B49" s="99" t="s">
        <v>52</v>
      </c>
      <c r="C49" s="120"/>
      <c r="D49" s="120"/>
      <c r="E49" s="120"/>
      <c r="F49" s="120"/>
      <c r="G49" s="120">
        <f>G48-C48</f>
        <v>7.0000000000000173E-2</v>
      </c>
      <c r="H49" s="120">
        <f t="shared" ref="H49:K49" si="422">H48-D48</f>
        <v>0.21999999999999986</v>
      </c>
      <c r="I49" s="120">
        <f t="shared" si="422"/>
        <v>0.36000000000000004</v>
      </c>
      <c r="J49" s="120">
        <f t="shared" si="422"/>
        <v>0.42000000000000026</v>
      </c>
      <c r="K49" s="120">
        <f t="shared" si="422"/>
        <v>0.19999999999999973</v>
      </c>
      <c r="L49" s="120">
        <f t="shared" ref="L49" si="423">L48-H48</f>
        <v>0.19999999999999996</v>
      </c>
      <c r="M49" s="121">
        <v>0.2</v>
      </c>
      <c r="N49" s="122">
        <v>0.2</v>
      </c>
      <c r="O49" s="123">
        <v>0.1</v>
      </c>
      <c r="P49" s="123">
        <v>0.1</v>
      </c>
      <c r="Q49" s="123">
        <v>0.1</v>
      </c>
      <c r="R49" s="123">
        <v>0.1</v>
      </c>
      <c r="S49" s="123">
        <v>0.05</v>
      </c>
      <c r="T49" s="123">
        <v>0.05</v>
      </c>
      <c r="U49" s="123">
        <v>0.05</v>
      </c>
      <c r="V49" s="123">
        <v>0.05</v>
      </c>
      <c r="W49" s="123">
        <v>2.5000000000000001E-2</v>
      </c>
      <c r="X49" s="123">
        <v>2.5000000000000001E-2</v>
      </c>
      <c r="Y49" s="123">
        <v>2.5000000000000001E-2</v>
      </c>
      <c r="Z49" s="123">
        <v>2.5000000000000001E-2</v>
      </c>
      <c r="AA49" s="123">
        <v>0</v>
      </c>
      <c r="AB49" s="123">
        <v>0</v>
      </c>
      <c r="AC49" s="123">
        <v>0</v>
      </c>
      <c r="AD49" s="123">
        <v>0</v>
      </c>
      <c r="AE49" s="123">
        <v>-0.1</v>
      </c>
      <c r="AF49" s="123">
        <v>-0.1</v>
      </c>
      <c r="AG49" s="123">
        <v>-0.1</v>
      </c>
      <c r="AH49" s="123">
        <v>-0.1</v>
      </c>
      <c r="AI49" s="123">
        <v>-0.1</v>
      </c>
      <c r="AJ49" s="123">
        <v>-0.1</v>
      </c>
      <c r="AK49" s="123">
        <v>-0.1</v>
      </c>
      <c r="AL49" s="123">
        <v>-0.1</v>
      </c>
      <c r="AM49" s="123">
        <v>-0.15</v>
      </c>
      <c r="AN49" s="123">
        <v>-0.15</v>
      </c>
      <c r="AO49" s="123">
        <v>-0.15</v>
      </c>
      <c r="AP49" s="123">
        <v>-0.15</v>
      </c>
      <c r="AQ49" s="123">
        <v>-0.15</v>
      </c>
      <c r="AR49" s="123">
        <v>-0.15</v>
      </c>
      <c r="AS49" s="123">
        <v>-0.15</v>
      </c>
      <c r="AT49" s="123">
        <v>-0.15</v>
      </c>
      <c r="AU49" s="123">
        <v>-0.15</v>
      </c>
      <c r="AV49" s="123">
        <v>-0.15</v>
      </c>
      <c r="AW49" s="123">
        <v>-0.15</v>
      </c>
      <c r="AX49" s="123">
        <v>-0.15</v>
      </c>
      <c r="AY49" s="123">
        <v>-0.15</v>
      </c>
      <c r="AZ49" s="123">
        <v>-0.15</v>
      </c>
      <c r="BA49" s="123">
        <v>-0.15</v>
      </c>
      <c r="BB49" s="123">
        <v>-0.15</v>
      </c>
      <c r="BC49" s="123">
        <v>-0.15</v>
      </c>
      <c r="BD49" s="123">
        <v>-0.15</v>
      </c>
      <c r="BE49" s="123">
        <v>-0.15</v>
      </c>
      <c r="BF49" s="123">
        <v>-0.15</v>
      </c>
      <c r="BG49" s="1" t="s">
        <v>7</v>
      </c>
      <c r="BH49" s="99" t="s">
        <v>52</v>
      </c>
      <c r="BI49" s="176"/>
      <c r="BJ49" s="176"/>
      <c r="BK49" s="176">
        <f>BK48-BJ48</f>
        <v>1.0473129683255182</v>
      </c>
      <c r="BL49" s="176">
        <f t="shared" ref="BL49:BV49" si="424">BL48-BK48</f>
        <v>0.18930206628312618</v>
      </c>
      <c r="BM49" s="176">
        <f t="shared" si="424"/>
        <v>0.19941134794131266</v>
      </c>
      <c r="BN49" s="176">
        <f t="shared" si="424"/>
        <v>0.10013122566799737</v>
      </c>
      <c r="BO49" s="176">
        <f t="shared" si="424"/>
        <v>8.0415484727680564E-4</v>
      </c>
      <c r="BP49" s="176">
        <f t="shared" si="424"/>
        <v>-0.3965607510009832</v>
      </c>
      <c r="BQ49" s="176">
        <f t="shared" si="424"/>
        <v>-0.39672366279568649</v>
      </c>
      <c r="BR49" s="176">
        <f t="shared" si="424"/>
        <v>-0.59558110857204127</v>
      </c>
      <c r="BS49" s="176">
        <f t="shared" si="424"/>
        <v>-0.5957840168519013</v>
      </c>
      <c r="BT49" s="176">
        <f t="shared" si="424"/>
        <v>-0.5959746894565896</v>
      </c>
      <c r="BU49" s="176">
        <f t="shared" si="424"/>
        <v>-0.59615403497583941</v>
      </c>
      <c r="BV49" s="176">
        <f t="shared" si="424"/>
        <v>-0.59632288222081797</v>
      </c>
    </row>
    <row r="50" spans="2:74" ht="20.05" customHeight="1" x14ac:dyDescent="0.4">
      <c r="B50" s="1" t="s">
        <v>45</v>
      </c>
      <c r="C50" s="108">
        <v>0.03</v>
      </c>
      <c r="D50" s="108">
        <v>0.04</v>
      </c>
      <c r="E50" s="108">
        <v>0.05</v>
      </c>
      <c r="F50" s="108">
        <v>7.0000000000000007E-2</v>
      </c>
      <c r="G50" s="108">
        <v>0.05</v>
      </c>
      <c r="H50" s="108">
        <v>0.05</v>
      </c>
      <c r="I50" s="108">
        <v>0.06</v>
      </c>
      <c r="J50" s="108">
        <v>0.09</v>
      </c>
      <c r="K50" s="108">
        <v>0.08</v>
      </c>
      <c r="L50" s="108">
        <v>0.11</v>
      </c>
      <c r="M50" s="109">
        <f>M52+I50</f>
        <v>0.12</v>
      </c>
      <c r="N50" s="110">
        <f t="shared" ref="N50:BF50" si="425">N52+J50</f>
        <v>0.15999999999999998</v>
      </c>
      <c r="O50" s="110">
        <f t="shared" si="425"/>
        <v>0.21000000000000002</v>
      </c>
      <c r="P50" s="110">
        <f t="shared" si="425"/>
        <v>0.27</v>
      </c>
      <c r="Q50" s="110">
        <f t="shared" si="425"/>
        <v>0.28000000000000003</v>
      </c>
      <c r="R50" s="110">
        <f t="shared" si="425"/>
        <v>0.32999999999999996</v>
      </c>
      <c r="S50" s="110">
        <f t="shared" si="425"/>
        <v>0.44000000000000006</v>
      </c>
      <c r="T50" s="110">
        <f t="shared" si="425"/>
        <v>0.53</v>
      </c>
      <c r="U50" s="110">
        <f t="shared" si="425"/>
        <v>0.54</v>
      </c>
      <c r="V50" s="110">
        <f t="shared" si="425"/>
        <v>0.6</v>
      </c>
      <c r="W50" s="110">
        <f t="shared" si="425"/>
        <v>0.72000000000000008</v>
      </c>
      <c r="X50" s="110">
        <f t="shared" si="425"/>
        <v>0.84000000000000008</v>
      </c>
      <c r="Y50" s="110">
        <f t="shared" si="425"/>
        <v>0.85000000000000009</v>
      </c>
      <c r="Z50" s="110">
        <f t="shared" si="425"/>
        <v>0.91999999999999993</v>
      </c>
      <c r="AA50" s="110">
        <f t="shared" si="425"/>
        <v>1.05</v>
      </c>
      <c r="AB50" s="110">
        <f t="shared" si="425"/>
        <v>1.2000000000000002</v>
      </c>
      <c r="AC50" s="110">
        <f t="shared" si="425"/>
        <v>1.21</v>
      </c>
      <c r="AD50" s="110">
        <f t="shared" si="425"/>
        <v>1.29</v>
      </c>
      <c r="AE50" s="110">
        <f t="shared" si="425"/>
        <v>1.4300000000000002</v>
      </c>
      <c r="AF50" s="110">
        <f t="shared" si="425"/>
        <v>1.61</v>
      </c>
      <c r="AG50" s="110">
        <f t="shared" si="425"/>
        <v>1.6199999999999999</v>
      </c>
      <c r="AH50" s="110">
        <f t="shared" si="425"/>
        <v>1.71</v>
      </c>
      <c r="AI50" s="110">
        <f t="shared" si="425"/>
        <v>1.8350000000000002</v>
      </c>
      <c r="AJ50" s="110">
        <f t="shared" si="425"/>
        <v>2.0449999999999999</v>
      </c>
      <c r="AK50" s="110">
        <f t="shared" si="425"/>
        <v>2.0549999999999997</v>
      </c>
      <c r="AL50" s="110">
        <f t="shared" si="425"/>
        <v>2.1549999999999998</v>
      </c>
      <c r="AM50" s="110">
        <f t="shared" si="425"/>
        <v>2.2650000000000001</v>
      </c>
      <c r="AN50" s="110">
        <f t="shared" si="425"/>
        <v>2.5049999999999999</v>
      </c>
      <c r="AO50" s="110">
        <f t="shared" si="425"/>
        <v>2.5149999999999997</v>
      </c>
      <c r="AP50" s="110">
        <f t="shared" si="425"/>
        <v>2.625</v>
      </c>
      <c r="AQ50" s="110">
        <f t="shared" si="425"/>
        <v>2.7050000000000001</v>
      </c>
      <c r="AR50" s="110">
        <f t="shared" si="425"/>
        <v>2.9750000000000001</v>
      </c>
      <c r="AS50" s="110">
        <f t="shared" si="425"/>
        <v>2.9849999999999999</v>
      </c>
      <c r="AT50" s="110">
        <f t="shared" si="425"/>
        <v>3.105</v>
      </c>
      <c r="AU50" s="110">
        <f t="shared" si="425"/>
        <v>3.145</v>
      </c>
      <c r="AV50" s="110">
        <f t="shared" si="425"/>
        <v>3.4450000000000003</v>
      </c>
      <c r="AW50" s="110">
        <f t="shared" si="425"/>
        <v>3.4550000000000001</v>
      </c>
      <c r="AX50" s="110">
        <f t="shared" si="425"/>
        <v>3.585</v>
      </c>
      <c r="AY50" s="110">
        <f t="shared" si="425"/>
        <v>3.585</v>
      </c>
      <c r="AZ50" s="110">
        <f t="shared" si="425"/>
        <v>3.9150000000000005</v>
      </c>
      <c r="BA50" s="110">
        <f t="shared" si="425"/>
        <v>3.9250000000000003</v>
      </c>
      <c r="BB50" s="110">
        <f t="shared" si="425"/>
        <v>4.0650000000000004</v>
      </c>
      <c r="BC50" s="110">
        <f t="shared" si="425"/>
        <v>3.875</v>
      </c>
      <c r="BD50" s="110">
        <f t="shared" si="425"/>
        <v>4.2350000000000003</v>
      </c>
      <c r="BE50" s="110">
        <f t="shared" si="425"/>
        <v>4.2450000000000001</v>
      </c>
      <c r="BF50" s="110">
        <f t="shared" si="425"/>
        <v>4.3950000000000005</v>
      </c>
      <c r="BG50" s="1" t="s">
        <v>7</v>
      </c>
      <c r="BH50" s="1" t="s">
        <v>45</v>
      </c>
      <c r="BI50" s="108">
        <f>BI83/BI40/1000</f>
        <v>0.27230215827338128</v>
      </c>
      <c r="BJ50" s="108">
        <f t="shared" ref="BJ50:BV50" si="426">BJ83/BJ40/1000</f>
        <v>0.33994565217391304</v>
      </c>
      <c r="BK50" s="108">
        <f t="shared" si="426"/>
        <v>0.60672199170124486</v>
      </c>
      <c r="BL50" s="108">
        <f t="shared" si="426"/>
        <v>1.3494406779661017</v>
      </c>
      <c r="BM50" s="108">
        <f t="shared" si="426"/>
        <v>2.5667448680351903</v>
      </c>
      <c r="BN50" s="108">
        <f t="shared" si="426"/>
        <v>4.0160582010582013</v>
      </c>
      <c r="BO50" s="108">
        <f t="shared" si="426"/>
        <v>5.6986993865030673</v>
      </c>
      <c r="BP50" s="108">
        <f t="shared" si="426"/>
        <v>7.6272706155632983</v>
      </c>
      <c r="BQ50" s="108">
        <f t="shared" si="426"/>
        <v>9.6533536585365862</v>
      </c>
      <c r="BR50" s="108">
        <f t="shared" si="426"/>
        <v>11.787386907929749</v>
      </c>
      <c r="BS50" s="108">
        <f t="shared" si="426"/>
        <v>13.966512583461736</v>
      </c>
      <c r="BT50" s="108">
        <f t="shared" si="426"/>
        <v>16.128069478908188</v>
      </c>
      <c r="BU50" s="108">
        <f t="shared" si="426"/>
        <v>18.280652904464713</v>
      </c>
      <c r="BV50" s="108">
        <f t="shared" si="426"/>
        <v>19.718977219897724</v>
      </c>
    </row>
    <row r="51" spans="2:74" ht="20.05" customHeight="1" x14ac:dyDescent="0.4">
      <c r="B51" s="7" t="s">
        <v>50</v>
      </c>
      <c r="C51" s="107">
        <v>-0.01</v>
      </c>
      <c r="D51" s="107">
        <f>D50-C50</f>
        <v>1.0000000000000002E-2</v>
      </c>
      <c r="E51" s="107">
        <f t="shared" ref="E51:O51" si="427">E50-D50</f>
        <v>1.0000000000000002E-2</v>
      </c>
      <c r="F51" s="107">
        <f t="shared" si="427"/>
        <v>2.0000000000000004E-2</v>
      </c>
      <c r="G51" s="107">
        <f t="shared" si="427"/>
        <v>-2.0000000000000004E-2</v>
      </c>
      <c r="H51" s="107">
        <f t="shared" si="427"/>
        <v>0</v>
      </c>
      <c r="I51" s="107">
        <f t="shared" si="427"/>
        <v>9.999999999999995E-3</v>
      </c>
      <c r="J51" s="107">
        <f t="shared" si="427"/>
        <v>0.03</v>
      </c>
      <c r="K51" s="107">
        <f t="shared" si="427"/>
        <v>-9.999999999999995E-3</v>
      </c>
      <c r="L51" s="107">
        <f t="shared" si="427"/>
        <v>0.03</v>
      </c>
      <c r="M51" s="112">
        <f t="shared" si="427"/>
        <v>9.999999999999995E-3</v>
      </c>
      <c r="N51" s="107">
        <f t="shared" si="427"/>
        <v>3.999999999999998E-2</v>
      </c>
      <c r="O51" s="107">
        <f t="shared" si="427"/>
        <v>5.0000000000000044E-2</v>
      </c>
      <c r="P51" s="107">
        <f t="shared" ref="P51" si="428">P50-O50</f>
        <v>0.06</v>
      </c>
      <c r="Q51" s="107">
        <f t="shared" ref="Q51" si="429">Q50-P50</f>
        <v>1.0000000000000009E-2</v>
      </c>
      <c r="R51" s="107">
        <f t="shared" ref="R51" si="430">R50-Q50</f>
        <v>4.9999999999999933E-2</v>
      </c>
      <c r="S51" s="107">
        <f t="shared" ref="S51" si="431">S50-R50</f>
        <v>0.1100000000000001</v>
      </c>
      <c r="T51" s="107">
        <f t="shared" ref="T51" si="432">T50-S50</f>
        <v>8.9999999999999969E-2</v>
      </c>
      <c r="U51" s="107">
        <f t="shared" ref="U51" si="433">U50-T50</f>
        <v>1.0000000000000009E-2</v>
      </c>
      <c r="V51" s="107">
        <f t="shared" ref="V51" si="434">V50-U50</f>
        <v>5.9999999999999942E-2</v>
      </c>
      <c r="W51" s="107">
        <f t="shared" ref="W51" si="435">W50-V50</f>
        <v>0.12000000000000011</v>
      </c>
      <c r="X51" s="107">
        <f t="shared" ref="X51" si="436">X50-W50</f>
        <v>0.12</v>
      </c>
      <c r="Y51" s="107">
        <f t="shared" ref="Y51" si="437">Y50-X50</f>
        <v>1.0000000000000009E-2</v>
      </c>
      <c r="Z51" s="107">
        <f t="shared" ref="Z51" si="438">Z50-Y50</f>
        <v>6.999999999999984E-2</v>
      </c>
      <c r="AA51" s="107">
        <f t="shared" ref="AA51" si="439">AA50-Z50</f>
        <v>0.13000000000000012</v>
      </c>
      <c r="AB51" s="107">
        <f t="shared" ref="AB51" si="440">AB50-AA50</f>
        <v>0.15000000000000013</v>
      </c>
      <c r="AC51" s="107">
        <f t="shared" ref="AC51" si="441">AC50-AB50</f>
        <v>9.9999999999997868E-3</v>
      </c>
      <c r="AD51" s="107">
        <f t="shared" ref="AD51" si="442">AD50-AC50</f>
        <v>8.0000000000000071E-2</v>
      </c>
      <c r="AE51" s="107">
        <f t="shared" ref="AE51" si="443">AE50-AD50</f>
        <v>0.14000000000000012</v>
      </c>
      <c r="AF51" s="107">
        <f t="shared" ref="AF51" si="444">AF50-AE50</f>
        <v>0.17999999999999994</v>
      </c>
      <c r="AG51" s="107">
        <f t="shared" ref="AG51" si="445">AG50-AF50</f>
        <v>9.9999999999997868E-3</v>
      </c>
      <c r="AH51" s="107">
        <f t="shared" ref="AH51" si="446">AH50-AG50</f>
        <v>9.000000000000008E-2</v>
      </c>
      <c r="AI51" s="107">
        <f t="shared" ref="AI51" si="447">AI50-AH50</f>
        <v>0.12500000000000022</v>
      </c>
      <c r="AJ51" s="107">
        <f t="shared" ref="AJ51" si="448">AJ50-AI50</f>
        <v>0.20999999999999974</v>
      </c>
      <c r="AK51" s="107">
        <f t="shared" ref="AK51" si="449">AK50-AJ50</f>
        <v>9.9999999999997868E-3</v>
      </c>
      <c r="AL51" s="107">
        <f t="shared" ref="AL51" si="450">AL50-AK50</f>
        <v>0.10000000000000009</v>
      </c>
      <c r="AM51" s="107">
        <f t="shared" ref="AM51" si="451">AM50-AL50</f>
        <v>0.11000000000000032</v>
      </c>
      <c r="AN51" s="107">
        <f t="shared" ref="AN51" si="452">AN50-AM50</f>
        <v>0.23999999999999977</v>
      </c>
      <c r="AO51" s="107">
        <f t="shared" ref="AO51" si="453">AO50-AN50</f>
        <v>9.9999999999997868E-3</v>
      </c>
      <c r="AP51" s="107">
        <f t="shared" ref="AP51" si="454">AP50-AO50</f>
        <v>0.11000000000000032</v>
      </c>
      <c r="AQ51" s="107">
        <f t="shared" ref="AQ51" si="455">AQ50-AP50</f>
        <v>8.0000000000000071E-2</v>
      </c>
      <c r="AR51" s="107">
        <f t="shared" ref="AR51" si="456">AR50-AQ50</f>
        <v>0.27</v>
      </c>
      <c r="AS51" s="107">
        <f t="shared" ref="AS51" si="457">AS50-AR50</f>
        <v>9.9999999999997868E-3</v>
      </c>
      <c r="AT51" s="107">
        <f t="shared" ref="AT51" si="458">AT50-AS50</f>
        <v>0.12000000000000011</v>
      </c>
      <c r="AU51" s="107">
        <f t="shared" ref="AU51" si="459">AU50-AT50</f>
        <v>4.0000000000000036E-2</v>
      </c>
      <c r="AV51" s="107">
        <f t="shared" ref="AV51" si="460">AV50-AU50</f>
        <v>0.30000000000000027</v>
      </c>
      <c r="AW51" s="107">
        <f t="shared" ref="AW51" si="461">AW50-AV50</f>
        <v>9.9999999999997868E-3</v>
      </c>
      <c r="AX51" s="107">
        <f t="shared" ref="AX51" si="462">AX50-AW50</f>
        <v>0.12999999999999989</v>
      </c>
      <c r="AY51" s="107">
        <f t="shared" ref="AY51" si="463">AY50-AX50</f>
        <v>0</v>
      </c>
      <c r="AZ51" s="107">
        <f t="shared" ref="AZ51" si="464">AZ50-AY50</f>
        <v>0.33000000000000052</v>
      </c>
      <c r="BA51" s="107">
        <f t="shared" ref="BA51" si="465">BA50-AZ50</f>
        <v>9.9999999999997868E-3</v>
      </c>
      <c r="BB51" s="107">
        <f t="shared" ref="BB51" si="466">BB50-BA50</f>
        <v>0.14000000000000012</v>
      </c>
      <c r="BC51" s="107">
        <f t="shared" ref="BC51" si="467">BC50-BB50</f>
        <v>-0.19000000000000039</v>
      </c>
      <c r="BD51" s="107">
        <f t="shared" ref="BD51" si="468">BD50-BC50</f>
        <v>0.36000000000000032</v>
      </c>
      <c r="BE51" s="107">
        <f t="shared" ref="BE51" si="469">BE50-BD50</f>
        <v>9.9999999999997868E-3</v>
      </c>
      <c r="BF51" s="107">
        <f t="shared" ref="BF51" si="470">BF50-BE50</f>
        <v>0.15000000000000036</v>
      </c>
      <c r="BG51" s="1" t="s">
        <v>7</v>
      </c>
      <c r="BH51" s="7" t="s">
        <v>50</v>
      </c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13"/>
      <c r="BT51" s="113"/>
      <c r="BU51" s="113"/>
      <c r="BV51" s="113"/>
    </row>
    <row r="52" spans="2:74" ht="20.05" customHeight="1" x14ac:dyDescent="0.4">
      <c r="B52" s="7" t="s">
        <v>51</v>
      </c>
      <c r="C52" s="113">
        <v>0.03</v>
      </c>
      <c r="D52" s="113">
        <v>0.03</v>
      </c>
      <c r="E52" s="113">
        <v>2.0000000000000004E-2</v>
      </c>
      <c r="F52" s="113">
        <v>3.0000000000000006E-2</v>
      </c>
      <c r="G52" s="113">
        <v>2.0000000000000004E-2</v>
      </c>
      <c r="H52" s="113">
        <v>1.0000000000000002E-2</v>
      </c>
      <c r="I52" s="113">
        <v>9.999999999999995E-3</v>
      </c>
      <c r="J52" s="113">
        <v>1.999999999999999E-2</v>
      </c>
      <c r="K52" s="113">
        <v>0.03</v>
      </c>
      <c r="L52" s="113">
        <v>0.06</v>
      </c>
      <c r="M52" s="114">
        <f>I52+M53</f>
        <v>0.06</v>
      </c>
      <c r="N52" s="113">
        <f>J52+N53</f>
        <v>6.9999999999999993E-2</v>
      </c>
      <c r="O52" s="113">
        <f t="shared" ref="O52:R52" si="471">K52+O53</f>
        <v>0.13</v>
      </c>
      <c r="P52" s="113">
        <f t="shared" si="471"/>
        <v>0.16</v>
      </c>
      <c r="Q52" s="113">
        <f t="shared" si="471"/>
        <v>0.16</v>
      </c>
      <c r="R52" s="113">
        <f t="shared" si="471"/>
        <v>0.16999999999999998</v>
      </c>
      <c r="S52" s="113">
        <f t="shared" ref="S52" si="472">O52+S53</f>
        <v>0.23</v>
      </c>
      <c r="T52" s="113">
        <f t="shared" ref="T52" si="473">P52+T53</f>
        <v>0.26</v>
      </c>
      <c r="U52" s="113">
        <f t="shared" ref="U52" si="474">Q52+U53</f>
        <v>0.26</v>
      </c>
      <c r="V52" s="113">
        <f t="shared" ref="V52" si="475">R52+V53</f>
        <v>0.27</v>
      </c>
      <c r="W52" s="113">
        <f t="shared" ref="W52" si="476">S52+W53</f>
        <v>0.28000000000000003</v>
      </c>
      <c r="X52" s="113">
        <f t="shared" ref="X52" si="477">T52+X53</f>
        <v>0.31</v>
      </c>
      <c r="Y52" s="113">
        <f t="shared" ref="Y52" si="478">U52+Y53</f>
        <v>0.31</v>
      </c>
      <c r="Z52" s="113">
        <f t="shared" ref="Z52" si="479">V52+Z53</f>
        <v>0.32</v>
      </c>
      <c r="AA52" s="113">
        <f t="shared" ref="AA52" si="480">W52+AA53</f>
        <v>0.33</v>
      </c>
      <c r="AB52" s="113">
        <f t="shared" ref="AB52" si="481">X52+AB53</f>
        <v>0.36</v>
      </c>
      <c r="AC52" s="113">
        <f t="shared" ref="AC52" si="482">Y52+AC53</f>
        <v>0.36</v>
      </c>
      <c r="AD52" s="113">
        <f t="shared" ref="AD52" si="483">Z52+AD53</f>
        <v>0.37</v>
      </c>
      <c r="AE52" s="113">
        <f t="shared" ref="AE52" si="484">AA52+AE53</f>
        <v>0.38</v>
      </c>
      <c r="AF52" s="113">
        <f t="shared" ref="AF52" si="485">AB52+AF53</f>
        <v>0.41</v>
      </c>
      <c r="AG52" s="113">
        <f t="shared" ref="AG52" si="486">AC52+AG53</f>
        <v>0.41</v>
      </c>
      <c r="AH52" s="113">
        <f t="shared" ref="AH52" si="487">AD52+AH53</f>
        <v>0.42</v>
      </c>
      <c r="AI52" s="113">
        <f t="shared" ref="AI52" si="488">AE52+AI53</f>
        <v>0.40500000000000003</v>
      </c>
      <c r="AJ52" s="113">
        <f t="shared" ref="AJ52" si="489">AF52+AJ53</f>
        <v>0.435</v>
      </c>
      <c r="AK52" s="113">
        <f t="shared" ref="AK52" si="490">AG52+AK53</f>
        <v>0.435</v>
      </c>
      <c r="AL52" s="113">
        <f t="shared" ref="AL52" si="491">AH52+AL53</f>
        <v>0.44500000000000001</v>
      </c>
      <c r="AM52" s="113">
        <f t="shared" ref="AM52" si="492">AI52+AM53</f>
        <v>0.43000000000000005</v>
      </c>
      <c r="AN52" s="113">
        <f t="shared" ref="AN52" si="493">AJ52+AN53</f>
        <v>0.46</v>
      </c>
      <c r="AO52" s="113">
        <f t="shared" ref="AO52" si="494">AK52+AO53</f>
        <v>0.46</v>
      </c>
      <c r="AP52" s="113">
        <f t="shared" ref="AP52" si="495">AL52+AP53</f>
        <v>0.47000000000000003</v>
      </c>
      <c r="AQ52" s="113">
        <f t="shared" ref="AQ52" si="496">AM52+AQ53</f>
        <v>0.44000000000000006</v>
      </c>
      <c r="AR52" s="113">
        <f t="shared" ref="AR52" si="497">AN52+AR53</f>
        <v>0.47000000000000003</v>
      </c>
      <c r="AS52" s="113">
        <f t="shared" ref="AS52" si="498">AO52+AS53</f>
        <v>0.47000000000000003</v>
      </c>
      <c r="AT52" s="113">
        <f t="shared" ref="AT52" si="499">AP52+AT53</f>
        <v>0.48000000000000004</v>
      </c>
      <c r="AU52" s="113">
        <f t="shared" ref="AU52" si="500">AQ52+AU53</f>
        <v>0.44000000000000006</v>
      </c>
      <c r="AV52" s="113">
        <f t="shared" ref="AV52" si="501">AR52+AV53</f>
        <v>0.47000000000000003</v>
      </c>
      <c r="AW52" s="113">
        <f t="shared" ref="AW52" si="502">AS52+AW53</f>
        <v>0.47000000000000003</v>
      </c>
      <c r="AX52" s="113">
        <f t="shared" ref="AX52" si="503">AT52+AX53</f>
        <v>0.48000000000000004</v>
      </c>
      <c r="AY52" s="113">
        <f t="shared" ref="AY52" si="504">AU52+AY53</f>
        <v>0.44000000000000006</v>
      </c>
      <c r="AZ52" s="113">
        <f t="shared" ref="AZ52" si="505">AV52+AZ53</f>
        <v>0.47000000000000003</v>
      </c>
      <c r="BA52" s="113">
        <f t="shared" ref="BA52" si="506">AW52+BA53</f>
        <v>0.47000000000000003</v>
      </c>
      <c r="BB52" s="113">
        <f t="shared" ref="BB52" si="507">AX52+BB53</f>
        <v>0.48000000000000004</v>
      </c>
      <c r="BC52" s="113">
        <f t="shared" ref="BC52" si="508">AY52+BC53</f>
        <v>0.29000000000000004</v>
      </c>
      <c r="BD52" s="113">
        <f t="shared" ref="BD52" si="509">AZ52+BD53</f>
        <v>0.32000000000000006</v>
      </c>
      <c r="BE52" s="113">
        <f t="shared" ref="BE52" si="510">BA52+BE53</f>
        <v>0.32000000000000006</v>
      </c>
      <c r="BF52" s="113">
        <f t="shared" ref="BF52" si="511">BB52+BF53</f>
        <v>0.33000000000000007</v>
      </c>
      <c r="BG52" s="1" t="s">
        <v>7</v>
      </c>
      <c r="BH52" s="7" t="s">
        <v>51</v>
      </c>
      <c r="BI52" s="113"/>
      <c r="BJ52" s="113">
        <f>BJ50-BI50</f>
        <v>6.7643493900531759E-2</v>
      </c>
      <c r="BK52" s="113">
        <f t="shared" ref="BK52:BV52" si="512">BK50-BJ50</f>
        <v>0.26677633952733182</v>
      </c>
      <c r="BL52" s="113">
        <f t="shared" si="512"/>
        <v>0.74271868626485682</v>
      </c>
      <c r="BM52" s="113">
        <f t="shared" si="512"/>
        <v>1.2173041900690886</v>
      </c>
      <c r="BN52" s="113">
        <f t="shared" si="512"/>
        <v>1.449313333023011</v>
      </c>
      <c r="BO52" s="113">
        <f t="shared" si="512"/>
        <v>1.682641185444866</v>
      </c>
      <c r="BP52" s="113">
        <f t="shared" si="512"/>
        <v>1.928571229060231</v>
      </c>
      <c r="BQ52" s="113">
        <f t="shared" si="512"/>
        <v>2.0260830429732879</v>
      </c>
      <c r="BR52" s="113">
        <f t="shared" si="512"/>
        <v>2.1340332493931626</v>
      </c>
      <c r="BS52" s="113">
        <f t="shared" si="512"/>
        <v>2.1791256755319868</v>
      </c>
      <c r="BT52" s="113">
        <f t="shared" si="512"/>
        <v>2.1615568954464521</v>
      </c>
      <c r="BU52" s="113">
        <f t="shared" si="512"/>
        <v>2.152583425556525</v>
      </c>
      <c r="BV52" s="113">
        <f t="shared" si="512"/>
        <v>1.438324315433011</v>
      </c>
    </row>
    <row r="53" spans="2:74" ht="20.05" customHeight="1" x14ac:dyDescent="0.4">
      <c r="B53" s="15" t="s">
        <v>52</v>
      </c>
      <c r="C53" s="115"/>
      <c r="D53" s="115"/>
      <c r="E53" s="115"/>
      <c r="F53" s="115"/>
      <c r="G53" s="115">
        <f>G52-C52</f>
        <v>-9.999999999999995E-3</v>
      </c>
      <c r="H53" s="115">
        <f t="shared" ref="H53:L53" si="513">H52-D52</f>
        <v>-1.9999999999999997E-2</v>
      </c>
      <c r="I53" s="115">
        <f t="shared" si="513"/>
        <v>-1.0000000000000009E-2</v>
      </c>
      <c r="J53" s="115">
        <f t="shared" si="513"/>
        <v>-1.0000000000000016E-2</v>
      </c>
      <c r="K53" s="115">
        <f t="shared" si="513"/>
        <v>9.999999999999995E-3</v>
      </c>
      <c r="L53" s="115">
        <f t="shared" si="513"/>
        <v>4.9999999999999996E-2</v>
      </c>
      <c r="M53" s="116">
        <v>0.05</v>
      </c>
      <c r="N53" s="117">
        <v>0.05</v>
      </c>
      <c r="O53" s="117">
        <v>0.1</v>
      </c>
      <c r="P53" s="117">
        <v>0.1</v>
      </c>
      <c r="Q53" s="117">
        <v>0.1</v>
      </c>
      <c r="R53" s="117">
        <v>0.1</v>
      </c>
      <c r="S53" s="117">
        <v>0.1</v>
      </c>
      <c r="T53" s="117">
        <v>0.1</v>
      </c>
      <c r="U53" s="117">
        <v>0.1</v>
      </c>
      <c r="V53" s="117">
        <v>0.1</v>
      </c>
      <c r="W53" s="117">
        <v>0.05</v>
      </c>
      <c r="X53" s="117">
        <v>0.05</v>
      </c>
      <c r="Y53" s="117">
        <v>0.05</v>
      </c>
      <c r="Z53" s="117">
        <v>0.05</v>
      </c>
      <c r="AA53" s="117">
        <v>0.05</v>
      </c>
      <c r="AB53" s="117">
        <v>0.05</v>
      </c>
      <c r="AC53" s="117">
        <v>0.05</v>
      </c>
      <c r="AD53" s="117">
        <v>0.05</v>
      </c>
      <c r="AE53" s="117">
        <v>0.05</v>
      </c>
      <c r="AF53" s="117">
        <v>0.05</v>
      </c>
      <c r="AG53" s="117">
        <v>0.05</v>
      </c>
      <c r="AH53" s="117">
        <v>0.05</v>
      </c>
      <c r="AI53" s="117">
        <v>2.5000000000000001E-2</v>
      </c>
      <c r="AJ53" s="117">
        <v>2.5000000000000001E-2</v>
      </c>
      <c r="AK53" s="117">
        <v>2.5000000000000001E-2</v>
      </c>
      <c r="AL53" s="117">
        <v>2.5000000000000001E-2</v>
      </c>
      <c r="AM53" s="117">
        <v>2.5000000000000001E-2</v>
      </c>
      <c r="AN53" s="117">
        <v>2.5000000000000001E-2</v>
      </c>
      <c r="AO53" s="117">
        <v>2.5000000000000001E-2</v>
      </c>
      <c r="AP53" s="117">
        <v>2.5000000000000001E-2</v>
      </c>
      <c r="AQ53" s="117">
        <v>0.01</v>
      </c>
      <c r="AR53" s="117">
        <v>0.01</v>
      </c>
      <c r="AS53" s="117">
        <v>0.01</v>
      </c>
      <c r="AT53" s="117">
        <v>0.01</v>
      </c>
      <c r="AU53" s="117">
        <v>0</v>
      </c>
      <c r="AV53" s="117">
        <v>0</v>
      </c>
      <c r="AW53" s="117">
        <v>0</v>
      </c>
      <c r="AX53" s="117">
        <v>0</v>
      </c>
      <c r="AY53" s="117">
        <v>0</v>
      </c>
      <c r="AZ53" s="117">
        <v>0</v>
      </c>
      <c r="BA53" s="117">
        <v>0</v>
      </c>
      <c r="BB53" s="117">
        <v>0</v>
      </c>
      <c r="BC53" s="117">
        <v>-0.15</v>
      </c>
      <c r="BD53" s="117">
        <v>-0.15</v>
      </c>
      <c r="BE53" s="117">
        <v>-0.15</v>
      </c>
      <c r="BF53" s="117">
        <v>-0.15</v>
      </c>
      <c r="BG53" s="1" t="s">
        <v>7</v>
      </c>
      <c r="BH53" s="15" t="s">
        <v>52</v>
      </c>
      <c r="BI53" s="175"/>
      <c r="BJ53" s="175"/>
      <c r="BK53" s="175">
        <f>BK52-BJ52</f>
        <v>0.19913284562680006</v>
      </c>
      <c r="BL53" s="175">
        <f t="shared" ref="BL53" si="514">BL52-BK52</f>
        <v>0.475942346737525</v>
      </c>
      <c r="BM53" s="175">
        <f t="shared" ref="BM53" si="515">BM52-BL52</f>
        <v>0.47458550380423181</v>
      </c>
      <c r="BN53" s="175">
        <f t="shared" ref="BN53" si="516">BN52-BM52</f>
        <v>0.23200914295392239</v>
      </c>
      <c r="BO53" s="175">
        <f t="shared" ref="BO53" si="517">BO52-BN52</f>
        <v>0.23332785242185494</v>
      </c>
      <c r="BP53" s="175">
        <f t="shared" ref="BP53" si="518">BP52-BO52</f>
        <v>0.24593004361536508</v>
      </c>
      <c r="BQ53" s="175">
        <f t="shared" ref="BQ53" si="519">BQ52-BP52</f>
        <v>9.7511813913056855E-2</v>
      </c>
      <c r="BR53" s="175">
        <f t="shared" ref="BR53" si="520">BR52-BQ52</f>
        <v>0.10795020641987474</v>
      </c>
      <c r="BS53" s="175">
        <f t="shared" ref="BS53" si="521">BS52-BR52</f>
        <v>4.5092426138824138E-2</v>
      </c>
      <c r="BT53" s="175">
        <f t="shared" ref="BT53" si="522">BT52-BS52</f>
        <v>-1.7568780085534641E-2</v>
      </c>
      <c r="BU53" s="175">
        <f t="shared" ref="BU53" si="523">BU52-BT52</f>
        <v>-8.9734698899270882E-3</v>
      </c>
      <c r="BV53" s="175">
        <f t="shared" ref="BV53" si="524">BV52-BU52</f>
        <v>-0.71425911012351406</v>
      </c>
    </row>
    <row r="54" spans="2:74" ht="20.05" customHeight="1" x14ac:dyDescent="0.4">
      <c r="B54" s="24" t="s">
        <v>59</v>
      </c>
      <c r="C54" s="106">
        <v>0.49</v>
      </c>
      <c r="D54" s="106">
        <v>0.56000000000000005</v>
      </c>
      <c r="E54" s="106">
        <v>0.6</v>
      </c>
      <c r="F54" s="106">
        <v>0.83</v>
      </c>
      <c r="G54" s="106">
        <v>0.57999999999999996</v>
      </c>
      <c r="H54" s="106">
        <v>0.69</v>
      </c>
      <c r="I54" s="106">
        <v>0.79</v>
      </c>
      <c r="J54" s="106">
        <v>1.06</v>
      </c>
      <c r="K54" s="106">
        <v>0.73</v>
      </c>
      <c r="L54" s="106">
        <v>0.88</v>
      </c>
      <c r="M54" s="104">
        <f t="shared" ref="M54:BF54" si="525">M86/M42/1000</f>
        <v>1.030909090909091</v>
      </c>
      <c r="N54" s="105">
        <f t="shared" si="525"/>
        <v>1.3040366972477064</v>
      </c>
      <c r="O54" s="105">
        <f t="shared" si="525"/>
        <v>0.96358900144717807</v>
      </c>
      <c r="P54" s="105">
        <f t="shared" si="525"/>
        <v>1.1751476793248947</v>
      </c>
      <c r="Q54" s="105">
        <f t="shared" si="525"/>
        <v>1.3291869918699188</v>
      </c>
      <c r="R54" s="105">
        <f t="shared" si="525"/>
        <v>1.6201960784313727</v>
      </c>
      <c r="S54" s="105">
        <f t="shared" si="525"/>
        <v>1.2825062656641604</v>
      </c>
      <c r="T54" s="105">
        <f t="shared" si="525"/>
        <v>1.5440540540540539</v>
      </c>
      <c r="U54" s="105">
        <f t="shared" si="525"/>
        <v>1.7263440860215054</v>
      </c>
      <c r="V54" s="105">
        <f t="shared" si="525"/>
        <v>2.0446976744186047</v>
      </c>
      <c r="W54" s="105">
        <f t="shared" si="525"/>
        <v>1.6593968432919954</v>
      </c>
      <c r="X54" s="105">
        <f t="shared" si="525"/>
        <v>1.9719410456062292</v>
      </c>
      <c r="Y54" s="105">
        <f t="shared" si="525"/>
        <v>2.1823529411764708</v>
      </c>
      <c r="Z54" s="105">
        <f t="shared" si="525"/>
        <v>2.5320010672358588</v>
      </c>
      <c r="AA54" s="105">
        <f t="shared" si="525"/>
        <v>2.0929853862212946</v>
      </c>
      <c r="AB54" s="105">
        <f t="shared" si="525"/>
        <v>2.4572492244053774</v>
      </c>
      <c r="AC54" s="105">
        <f t="shared" si="525"/>
        <v>2.6955951169888097</v>
      </c>
      <c r="AD54" s="105">
        <f t="shared" si="525"/>
        <v>3.0784284284284285</v>
      </c>
      <c r="AE54" s="105">
        <f t="shared" si="525"/>
        <v>2.5634891732283465</v>
      </c>
      <c r="AF54" s="105">
        <f t="shared" si="525"/>
        <v>2.9812084148727984</v>
      </c>
      <c r="AG54" s="105">
        <f t="shared" si="525"/>
        <v>3.2490724637681159</v>
      </c>
      <c r="AH54" s="105">
        <f t="shared" si="525"/>
        <v>3.6683253816793893</v>
      </c>
      <c r="AI54" s="105">
        <f t="shared" si="525"/>
        <v>3.0482455315145813</v>
      </c>
      <c r="AJ54" s="105">
        <f t="shared" si="525"/>
        <v>3.5183707865168539</v>
      </c>
      <c r="AK54" s="105">
        <f t="shared" si="525"/>
        <v>3.8137499999999998</v>
      </c>
      <c r="AL54" s="105">
        <f t="shared" si="525"/>
        <v>4.2672710622710621</v>
      </c>
      <c r="AM54" s="105">
        <f t="shared" si="525"/>
        <v>3.5345882352941178</v>
      </c>
      <c r="AN54" s="105">
        <f t="shared" si="525"/>
        <v>4.0569287967552938</v>
      </c>
      <c r="AO54" s="105">
        <f t="shared" si="525"/>
        <v>4.3793354148082075</v>
      </c>
      <c r="AP54" s="105">
        <f t="shared" si="525"/>
        <v>4.866867549668874</v>
      </c>
      <c r="AQ54" s="105">
        <f t="shared" si="525"/>
        <v>4.0079470922606033</v>
      </c>
      <c r="AR54" s="105">
        <f t="shared" si="525"/>
        <v>4.5827908496732022</v>
      </c>
      <c r="AS54" s="105">
        <f t="shared" si="525"/>
        <v>4.9324751834268454</v>
      </c>
      <c r="AT54" s="105">
        <f t="shared" si="525"/>
        <v>5.4546536981616072</v>
      </c>
      <c r="AU54" s="105">
        <f t="shared" si="525"/>
        <v>4.4574989411266417</v>
      </c>
      <c r="AV54" s="105">
        <f t="shared" si="525"/>
        <v>5.0840333474039676</v>
      </c>
      <c r="AW54" s="105">
        <f t="shared" si="525"/>
        <v>5.4598431618569645</v>
      </c>
      <c r="AX54" s="105">
        <f t="shared" si="525"/>
        <v>6.0153895565685866</v>
      </c>
      <c r="AY54" s="105">
        <f t="shared" si="525"/>
        <v>4.8827412731006161</v>
      </c>
      <c r="AZ54" s="105">
        <f t="shared" si="525"/>
        <v>5.560517805976259</v>
      </c>
      <c r="BA54" s="105">
        <f t="shared" si="525"/>
        <v>5.9619087221095333</v>
      </c>
      <c r="BB54" s="105">
        <f t="shared" si="525"/>
        <v>6.5504041013269001</v>
      </c>
      <c r="BC54" s="105">
        <f t="shared" si="525"/>
        <v>5.1347489039457948</v>
      </c>
      <c r="BD54" s="105">
        <f t="shared" si="525"/>
        <v>5.8633551847437433</v>
      </c>
      <c r="BE54" s="105">
        <f t="shared" si="525"/>
        <v>6.289820795588815</v>
      </c>
      <c r="BF54" s="105">
        <f t="shared" si="525"/>
        <v>6.9108727059742288</v>
      </c>
      <c r="BG54" s="1" t="s">
        <v>7</v>
      </c>
      <c r="BH54" s="24" t="s">
        <v>59</v>
      </c>
      <c r="BI54" s="108">
        <f>BI86/BI42/1000</f>
        <v>2.2885581395348837</v>
      </c>
      <c r="BJ54" s="108">
        <f t="shared" ref="BJ54:BV54" si="526">BJ86/BJ42/1000</f>
        <v>2.9465037593984964</v>
      </c>
      <c r="BK54" s="108">
        <f t="shared" si="526"/>
        <v>3.7771865443425074</v>
      </c>
      <c r="BL54" s="108">
        <f t="shared" si="526"/>
        <v>4.8650457516339864</v>
      </c>
      <c r="BM54" s="108">
        <f t="shared" si="526"/>
        <v>6.3763837209302325</v>
      </c>
      <c r="BN54" s="108">
        <f t="shared" si="526"/>
        <v>8.1329188900747074</v>
      </c>
      <c r="BO54" s="108">
        <f t="shared" si="526"/>
        <v>10.116476476476477</v>
      </c>
      <c r="BP54" s="108">
        <f t="shared" si="526"/>
        <v>12.269556297709924</v>
      </c>
      <c r="BQ54" s="108">
        <f t="shared" si="526"/>
        <v>14.447449633699634</v>
      </c>
      <c r="BR54" s="108">
        <f t="shared" si="526"/>
        <v>16.625028697571743</v>
      </c>
      <c r="BS54" s="108">
        <f t="shared" si="526"/>
        <v>18.756160752458317</v>
      </c>
      <c r="BT54" s="108">
        <f t="shared" si="526"/>
        <v>20.778222130128469</v>
      </c>
      <c r="BU54" s="108">
        <f t="shared" si="526"/>
        <v>22.702364294330522</v>
      </c>
      <c r="BV54" s="108">
        <f t="shared" si="526"/>
        <v>23.939769621241702</v>
      </c>
    </row>
    <row r="55" spans="2:74" ht="20.05" customHeight="1" x14ac:dyDescent="0.4">
      <c r="B55" s="7" t="s">
        <v>50</v>
      </c>
      <c r="C55" s="106">
        <v>-0.25</v>
      </c>
      <c r="D55" s="107">
        <f>D54-C54</f>
        <v>7.0000000000000062E-2</v>
      </c>
      <c r="E55" s="107">
        <f t="shared" ref="E55:BF55" si="527">E54-D54</f>
        <v>3.9999999999999925E-2</v>
      </c>
      <c r="F55" s="107">
        <f t="shared" si="527"/>
        <v>0.22999999999999998</v>
      </c>
      <c r="G55" s="107">
        <f t="shared" si="527"/>
        <v>-0.25</v>
      </c>
      <c r="H55" s="107">
        <f t="shared" si="527"/>
        <v>0.10999999999999999</v>
      </c>
      <c r="I55" s="107">
        <f t="shared" si="527"/>
        <v>0.10000000000000009</v>
      </c>
      <c r="J55" s="107">
        <f t="shared" si="527"/>
        <v>0.27</v>
      </c>
      <c r="K55" s="107">
        <f t="shared" si="527"/>
        <v>-0.33000000000000007</v>
      </c>
      <c r="L55" s="107">
        <f t="shared" si="527"/>
        <v>0.15000000000000002</v>
      </c>
      <c r="M55" s="112">
        <f t="shared" si="527"/>
        <v>0.15090909090909099</v>
      </c>
      <c r="N55" s="107">
        <f t="shared" si="527"/>
        <v>0.27312760633861544</v>
      </c>
      <c r="O55" s="107">
        <f t="shared" si="527"/>
        <v>-0.34044769580052836</v>
      </c>
      <c r="P55" s="107">
        <f t="shared" si="527"/>
        <v>0.21155867787771665</v>
      </c>
      <c r="Q55" s="107">
        <f t="shared" si="527"/>
        <v>0.15403931254502412</v>
      </c>
      <c r="R55" s="107">
        <f t="shared" si="527"/>
        <v>0.29100908656145386</v>
      </c>
      <c r="S55" s="107">
        <f t="shared" si="527"/>
        <v>-0.33768981276721233</v>
      </c>
      <c r="T55" s="107">
        <f t="shared" si="527"/>
        <v>0.26154778838989357</v>
      </c>
      <c r="U55" s="107">
        <f t="shared" si="527"/>
        <v>0.18229003196745142</v>
      </c>
      <c r="V55" s="107">
        <f t="shared" si="527"/>
        <v>0.31835358839709937</v>
      </c>
      <c r="W55" s="107">
        <f t="shared" si="527"/>
        <v>-0.38530083112660929</v>
      </c>
      <c r="X55" s="107">
        <f t="shared" si="527"/>
        <v>0.31254420231423374</v>
      </c>
      <c r="Y55" s="107">
        <f t="shared" si="527"/>
        <v>0.21041189557024165</v>
      </c>
      <c r="Z55" s="107">
        <f t="shared" si="527"/>
        <v>0.349648126059388</v>
      </c>
      <c r="AA55" s="107">
        <f t="shared" si="527"/>
        <v>-0.43901568101456423</v>
      </c>
      <c r="AB55" s="107">
        <f t="shared" si="527"/>
        <v>0.36426383818408281</v>
      </c>
      <c r="AC55" s="107">
        <f t="shared" si="527"/>
        <v>0.23834589258343231</v>
      </c>
      <c r="AD55" s="107">
        <f t="shared" si="527"/>
        <v>0.38283331143961874</v>
      </c>
      <c r="AE55" s="107">
        <f t="shared" si="527"/>
        <v>-0.51493925520008199</v>
      </c>
      <c r="AF55" s="107">
        <f t="shared" si="527"/>
        <v>0.41771924164445196</v>
      </c>
      <c r="AG55" s="107">
        <f t="shared" si="527"/>
        <v>0.26786404889531745</v>
      </c>
      <c r="AH55" s="107">
        <f t="shared" si="527"/>
        <v>0.41925291791127339</v>
      </c>
      <c r="AI55" s="107">
        <f t="shared" si="527"/>
        <v>-0.62007985016480793</v>
      </c>
      <c r="AJ55" s="107">
        <f t="shared" si="527"/>
        <v>0.47012525500227254</v>
      </c>
      <c r="AK55" s="107">
        <f t="shared" si="527"/>
        <v>0.29537921348314589</v>
      </c>
      <c r="AL55" s="107">
        <f t="shared" si="527"/>
        <v>0.45352106227106237</v>
      </c>
      <c r="AM55" s="107">
        <f t="shared" si="527"/>
        <v>-0.73268282697694431</v>
      </c>
      <c r="AN55" s="107">
        <f t="shared" si="527"/>
        <v>0.52234056146117602</v>
      </c>
      <c r="AO55" s="107">
        <f t="shared" si="527"/>
        <v>0.32240661805291371</v>
      </c>
      <c r="AP55" s="107">
        <f t="shared" si="527"/>
        <v>0.48753213486066649</v>
      </c>
      <c r="AQ55" s="107">
        <f t="shared" si="527"/>
        <v>-0.85892045740827072</v>
      </c>
      <c r="AR55" s="107">
        <f t="shared" si="527"/>
        <v>0.57484375741259885</v>
      </c>
      <c r="AS55" s="107">
        <f t="shared" si="527"/>
        <v>0.34968433375364327</v>
      </c>
      <c r="AT55" s="107">
        <f t="shared" si="527"/>
        <v>0.52217851473476173</v>
      </c>
      <c r="AU55" s="107">
        <f t="shared" si="527"/>
        <v>-0.99715475703496548</v>
      </c>
      <c r="AV55" s="107">
        <f t="shared" si="527"/>
        <v>0.62653440627732593</v>
      </c>
      <c r="AW55" s="107">
        <f t="shared" si="527"/>
        <v>0.37580981445299688</v>
      </c>
      <c r="AX55" s="107">
        <f t="shared" si="527"/>
        <v>0.55554639471162215</v>
      </c>
      <c r="AY55" s="107">
        <f t="shared" si="527"/>
        <v>-1.1326482834679705</v>
      </c>
      <c r="AZ55" s="107">
        <f t="shared" si="527"/>
        <v>0.67777653287564288</v>
      </c>
      <c r="BA55" s="107">
        <f t="shared" si="527"/>
        <v>0.40139091613327427</v>
      </c>
      <c r="BB55" s="107">
        <f t="shared" si="527"/>
        <v>0.58849537921736683</v>
      </c>
      <c r="BC55" s="107">
        <f t="shared" si="527"/>
        <v>-1.4156551973811053</v>
      </c>
      <c r="BD55" s="107">
        <f t="shared" si="527"/>
        <v>0.72860628079794854</v>
      </c>
      <c r="BE55" s="107">
        <f t="shared" si="527"/>
        <v>0.42646561084507173</v>
      </c>
      <c r="BF55" s="107">
        <f t="shared" si="527"/>
        <v>0.62105191038541374</v>
      </c>
      <c r="BG55" s="1" t="s">
        <v>7</v>
      </c>
      <c r="BH55" s="7" t="s">
        <v>50</v>
      </c>
      <c r="BI55" s="113"/>
      <c r="BJ55" s="113"/>
      <c r="BK55" s="113"/>
      <c r="BL55" s="113"/>
      <c r="BM55" s="113"/>
      <c r="BN55" s="113"/>
      <c r="BO55" s="113"/>
      <c r="BP55" s="113"/>
      <c r="BQ55" s="113"/>
      <c r="BR55" s="113"/>
      <c r="BS55" s="113"/>
      <c r="BT55" s="113"/>
      <c r="BU55" s="113"/>
      <c r="BV55" s="113"/>
    </row>
    <row r="56" spans="2:74" ht="20.05" customHeight="1" x14ac:dyDescent="0.4">
      <c r="B56" s="7" t="s">
        <v>51</v>
      </c>
      <c r="C56" s="107">
        <v>9.9999999999999978E-2</v>
      </c>
      <c r="D56" s="107">
        <v>8.0000000000000071E-2</v>
      </c>
      <c r="E56" s="107">
        <v>7.999999999999996E-2</v>
      </c>
      <c r="F56" s="107">
        <v>8.9999999999999969E-2</v>
      </c>
      <c r="G56" s="107">
        <f>G54-C54</f>
        <v>8.9999999999999969E-2</v>
      </c>
      <c r="H56" s="107">
        <f t="shared" ref="H56:BF56" si="528">H54-D54</f>
        <v>0.12999999999999989</v>
      </c>
      <c r="I56" s="107">
        <f t="shared" si="528"/>
        <v>0.19000000000000006</v>
      </c>
      <c r="J56" s="107">
        <f t="shared" si="528"/>
        <v>0.23000000000000009</v>
      </c>
      <c r="K56" s="107">
        <f t="shared" si="528"/>
        <v>0.15000000000000002</v>
      </c>
      <c r="L56" s="107">
        <f t="shared" si="528"/>
        <v>0.19000000000000006</v>
      </c>
      <c r="M56" s="112">
        <f t="shared" si="528"/>
        <v>0.24090909090909096</v>
      </c>
      <c r="N56" s="107">
        <f t="shared" si="528"/>
        <v>0.24403669724770638</v>
      </c>
      <c r="O56" s="107">
        <f t="shared" si="528"/>
        <v>0.23358900144717809</v>
      </c>
      <c r="P56" s="107">
        <f t="shared" si="528"/>
        <v>0.29514767932489472</v>
      </c>
      <c r="Q56" s="107">
        <f t="shared" si="528"/>
        <v>0.29827790096082785</v>
      </c>
      <c r="R56" s="107">
        <f t="shared" si="528"/>
        <v>0.31615938118366627</v>
      </c>
      <c r="S56" s="107">
        <f t="shared" si="528"/>
        <v>0.3189172642169823</v>
      </c>
      <c r="T56" s="107">
        <f t="shared" si="528"/>
        <v>0.36890637472915921</v>
      </c>
      <c r="U56" s="107">
        <f t="shared" si="528"/>
        <v>0.39715709415158651</v>
      </c>
      <c r="V56" s="107">
        <f t="shared" si="528"/>
        <v>0.42450159598723203</v>
      </c>
      <c r="W56" s="107">
        <f t="shared" si="528"/>
        <v>0.37689057762783507</v>
      </c>
      <c r="X56" s="107">
        <f t="shared" si="528"/>
        <v>0.42788699155217524</v>
      </c>
      <c r="Y56" s="107">
        <f t="shared" si="528"/>
        <v>0.45600885515496548</v>
      </c>
      <c r="Z56" s="107">
        <f t="shared" si="528"/>
        <v>0.4873033928172541</v>
      </c>
      <c r="AA56" s="107">
        <f t="shared" si="528"/>
        <v>0.43358854292929916</v>
      </c>
      <c r="AB56" s="107">
        <f t="shared" si="528"/>
        <v>0.48530817879914823</v>
      </c>
      <c r="AC56" s="107">
        <f t="shared" si="528"/>
        <v>0.51324217581233889</v>
      </c>
      <c r="AD56" s="107">
        <f t="shared" si="528"/>
        <v>0.54642736119256963</v>
      </c>
      <c r="AE56" s="107">
        <f t="shared" si="528"/>
        <v>0.47050378700705187</v>
      </c>
      <c r="AF56" s="107">
        <f t="shared" si="528"/>
        <v>0.52395919046742101</v>
      </c>
      <c r="AG56" s="107">
        <f t="shared" si="528"/>
        <v>0.55347734677930616</v>
      </c>
      <c r="AH56" s="107">
        <f t="shared" si="528"/>
        <v>0.58989695325096081</v>
      </c>
      <c r="AI56" s="107">
        <f t="shared" si="528"/>
        <v>0.48475635828623487</v>
      </c>
      <c r="AJ56" s="107">
        <f t="shared" si="528"/>
        <v>0.53716237164405545</v>
      </c>
      <c r="AK56" s="107">
        <f t="shared" si="528"/>
        <v>0.56467753623188388</v>
      </c>
      <c r="AL56" s="107">
        <f t="shared" si="528"/>
        <v>0.59894568059167286</v>
      </c>
      <c r="AM56" s="107">
        <f t="shared" si="528"/>
        <v>0.48634270377953648</v>
      </c>
      <c r="AN56" s="107">
        <f t="shared" si="528"/>
        <v>0.53855801023843997</v>
      </c>
      <c r="AO56" s="107">
        <f t="shared" si="528"/>
        <v>0.56558541480820779</v>
      </c>
      <c r="AP56" s="107">
        <f t="shared" si="528"/>
        <v>0.59959648739781191</v>
      </c>
      <c r="AQ56" s="107">
        <f t="shared" si="528"/>
        <v>0.4733588569664855</v>
      </c>
      <c r="AR56" s="107">
        <f t="shared" si="528"/>
        <v>0.52586205291790833</v>
      </c>
      <c r="AS56" s="107">
        <f t="shared" si="528"/>
        <v>0.55313976861863789</v>
      </c>
      <c r="AT56" s="107">
        <f t="shared" si="528"/>
        <v>0.58778614849273314</v>
      </c>
      <c r="AU56" s="107">
        <f t="shared" si="528"/>
        <v>0.44955184886603838</v>
      </c>
      <c r="AV56" s="107">
        <f t="shared" si="528"/>
        <v>0.50124249773076546</v>
      </c>
      <c r="AW56" s="107">
        <f t="shared" si="528"/>
        <v>0.52736797843011907</v>
      </c>
      <c r="AX56" s="107">
        <f t="shared" si="528"/>
        <v>0.56073585840697948</v>
      </c>
      <c r="AY56" s="107">
        <f t="shared" si="528"/>
        <v>0.42524233197397443</v>
      </c>
      <c r="AZ56" s="107">
        <f t="shared" si="528"/>
        <v>0.47648445857229138</v>
      </c>
      <c r="BA56" s="107">
        <f t="shared" si="528"/>
        <v>0.50206556025256877</v>
      </c>
      <c r="BB56" s="107">
        <f t="shared" si="528"/>
        <v>0.53501454475831345</v>
      </c>
      <c r="BC56" s="107">
        <f t="shared" si="528"/>
        <v>0.25200763084517863</v>
      </c>
      <c r="BD56" s="107">
        <f t="shared" si="528"/>
        <v>0.30283737876748429</v>
      </c>
      <c r="BE56" s="107">
        <f t="shared" si="528"/>
        <v>0.32791207347928175</v>
      </c>
      <c r="BF56" s="107">
        <f t="shared" si="528"/>
        <v>0.36046860464732866</v>
      </c>
      <c r="BG56" s="1" t="s">
        <v>7</v>
      </c>
      <c r="BH56" s="7" t="s">
        <v>51</v>
      </c>
      <c r="BI56" s="113"/>
      <c r="BJ56" s="113">
        <f>BJ54-BI54</f>
        <v>0.65794561986361266</v>
      </c>
      <c r="BK56" s="113">
        <f t="shared" ref="BK56:BV56" si="529">BK54-BJ54</f>
        <v>0.83068278494401104</v>
      </c>
      <c r="BL56" s="113">
        <f t="shared" si="529"/>
        <v>1.087859207291479</v>
      </c>
      <c r="BM56" s="113">
        <f t="shared" si="529"/>
        <v>1.5113379692962461</v>
      </c>
      <c r="BN56" s="113">
        <f t="shared" si="529"/>
        <v>1.7565351691444748</v>
      </c>
      <c r="BO56" s="113">
        <f t="shared" si="529"/>
        <v>1.9835575864017692</v>
      </c>
      <c r="BP56" s="113">
        <f t="shared" si="529"/>
        <v>2.1530798212334474</v>
      </c>
      <c r="BQ56" s="113">
        <f t="shared" si="529"/>
        <v>2.1778933359897099</v>
      </c>
      <c r="BR56" s="113">
        <f t="shared" si="529"/>
        <v>2.1775790638721091</v>
      </c>
      <c r="BS56" s="113">
        <f t="shared" si="529"/>
        <v>2.1311320548865744</v>
      </c>
      <c r="BT56" s="113">
        <f t="shared" si="529"/>
        <v>2.0220613776701519</v>
      </c>
      <c r="BU56" s="113">
        <f t="shared" si="529"/>
        <v>1.9241421642020526</v>
      </c>
      <c r="BV56" s="113">
        <f t="shared" si="529"/>
        <v>1.2374053269111798</v>
      </c>
    </row>
    <row r="57" spans="2:74" ht="20.05" customHeight="1" x14ac:dyDescent="0.4">
      <c r="B57" s="111" t="s">
        <v>52</v>
      </c>
      <c r="C57" s="107"/>
      <c r="D57" s="107"/>
      <c r="E57" s="107"/>
      <c r="F57" s="107"/>
      <c r="G57" s="107">
        <f>G56-C56</f>
        <v>-1.0000000000000009E-2</v>
      </c>
      <c r="H57" s="107">
        <f t="shared" ref="H57:BF57" si="530">H56-D56</f>
        <v>4.9999999999999822E-2</v>
      </c>
      <c r="I57" s="107">
        <f t="shared" si="530"/>
        <v>0.1100000000000001</v>
      </c>
      <c r="J57" s="107">
        <f t="shared" si="530"/>
        <v>0.14000000000000012</v>
      </c>
      <c r="K57" s="107">
        <f t="shared" si="530"/>
        <v>6.0000000000000053E-2</v>
      </c>
      <c r="L57" s="107">
        <f t="shared" si="530"/>
        <v>6.0000000000000164E-2</v>
      </c>
      <c r="M57" s="112">
        <f t="shared" si="530"/>
        <v>5.0909090909090904E-2</v>
      </c>
      <c r="N57" s="107">
        <f t="shared" si="530"/>
        <v>1.4036697247706287E-2</v>
      </c>
      <c r="O57" s="107">
        <f t="shared" si="530"/>
        <v>8.3589001447178068E-2</v>
      </c>
      <c r="P57" s="107">
        <f t="shared" si="530"/>
        <v>0.10514767932489466</v>
      </c>
      <c r="Q57" s="107">
        <f t="shared" si="530"/>
        <v>5.7368810051736885E-2</v>
      </c>
      <c r="R57" s="107">
        <f t="shared" si="530"/>
        <v>7.2122683935959886E-2</v>
      </c>
      <c r="S57" s="107">
        <f t="shared" si="530"/>
        <v>8.5328262769804208E-2</v>
      </c>
      <c r="T57" s="107">
        <f t="shared" si="530"/>
        <v>7.3758695404264496E-2</v>
      </c>
      <c r="U57" s="107">
        <f t="shared" si="530"/>
        <v>9.8879193190758663E-2</v>
      </c>
      <c r="V57" s="107">
        <f t="shared" si="530"/>
        <v>0.10834221480356576</v>
      </c>
      <c r="W57" s="107">
        <f t="shared" si="530"/>
        <v>5.7973313410852767E-2</v>
      </c>
      <c r="X57" s="107">
        <f t="shared" si="530"/>
        <v>5.898061682301603E-2</v>
      </c>
      <c r="Y57" s="107">
        <f t="shared" si="530"/>
        <v>5.8851761003378966E-2</v>
      </c>
      <c r="Z57" s="107">
        <f t="shared" si="530"/>
        <v>6.2801796830022072E-2</v>
      </c>
      <c r="AA57" s="107">
        <f t="shared" si="530"/>
        <v>5.6697965301464093E-2</v>
      </c>
      <c r="AB57" s="107">
        <f t="shared" si="530"/>
        <v>5.7421187246972982E-2</v>
      </c>
      <c r="AC57" s="107">
        <f t="shared" si="530"/>
        <v>5.723332065737341E-2</v>
      </c>
      <c r="AD57" s="107">
        <f t="shared" si="530"/>
        <v>5.9123968375315528E-2</v>
      </c>
      <c r="AE57" s="107">
        <f t="shared" si="530"/>
        <v>3.6915244077752707E-2</v>
      </c>
      <c r="AF57" s="107">
        <f t="shared" si="530"/>
        <v>3.8651011668272783E-2</v>
      </c>
      <c r="AG57" s="107">
        <f t="shared" si="530"/>
        <v>4.0235170966967271E-2</v>
      </c>
      <c r="AH57" s="107">
        <f t="shared" si="530"/>
        <v>4.3469592058391182E-2</v>
      </c>
      <c r="AI57" s="107">
        <f t="shared" si="530"/>
        <v>1.4252571279183002E-2</v>
      </c>
      <c r="AJ57" s="107">
        <f t="shared" si="530"/>
        <v>1.3203181176634438E-2</v>
      </c>
      <c r="AK57" s="107">
        <f t="shared" si="530"/>
        <v>1.1200189452577725E-2</v>
      </c>
      <c r="AL57" s="107">
        <f t="shared" si="530"/>
        <v>9.0487273407120483E-3</v>
      </c>
      <c r="AM57" s="107">
        <f t="shared" si="530"/>
        <v>1.5863454933016108E-3</v>
      </c>
      <c r="AN57" s="107">
        <f t="shared" si="530"/>
        <v>1.3956385943845184E-3</v>
      </c>
      <c r="AO57" s="107">
        <f t="shared" si="530"/>
        <v>9.0787857632390612E-4</v>
      </c>
      <c r="AP57" s="107">
        <f t="shared" si="530"/>
        <v>6.5080680613904818E-4</v>
      </c>
      <c r="AQ57" s="107">
        <f t="shared" si="530"/>
        <v>-1.2983846813050981E-2</v>
      </c>
      <c r="AR57" s="107">
        <f t="shared" si="530"/>
        <v>-1.2695957320531637E-2</v>
      </c>
      <c r="AS57" s="107">
        <f t="shared" si="530"/>
        <v>-1.2445646189569892E-2</v>
      </c>
      <c r="AT57" s="107">
        <f t="shared" si="530"/>
        <v>-1.1810338905078765E-2</v>
      </c>
      <c r="AU57" s="107">
        <f t="shared" si="530"/>
        <v>-2.3807008100447113E-2</v>
      </c>
      <c r="AV57" s="107">
        <f t="shared" si="530"/>
        <v>-2.4619555187142872E-2</v>
      </c>
      <c r="AW57" s="107">
        <f t="shared" si="530"/>
        <v>-2.5771790188518828E-2</v>
      </c>
      <c r="AX57" s="107">
        <f t="shared" si="530"/>
        <v>-2.7050290085753659E-2</v>
      </c>
      <c r="AY57" s="107">
        <f t="shared" si="530"/>
        <v>-2.4309516892063954E-2</v>
      </c>
      <c r="AZ57" s="107">
        <f t="shared" si="530"/>
        <v>-2.4758039158474077E-2</v>
      </c>
      <c r="BA57" s="107">
        <f t="shared" si="530"/>
        <v>-2.5302418177550301E-2</v>
      </c>
      <c r="BB57" s="107">
        <f t="shared" si="530"/>
        <v>-2.5721313648666033E-2</v>
      </c>
      <c r="BC57" s="107">
        <f t="shared" si="530"/>
        <v>-0.1732347011287958</v>
      </c>
      <c r="BD57" s="107">
        <f t="shared" si="530"/>
        <v>-0.17364707980480709</v>
      </c>
      <c r="BE57" s="107">
        <f t="shared" si="530"/>
        <v>-0.17415348677328701</v>
      </c>
      <c r="BF57" s="107">
        <f t="shared" si="530"/>
        <v>-0.17454594011098479</v>
      </c>
      <c r="BG57" s="1" t="s">
        <v>7</v>
      </c>
      <c r="BH57" s="111" t="s">
        <v>52</v>
      </c>
      <c r="BI57" s="113"/>
      <c r="BJ57" s="113"/>
      <c r="BK57" s="113">
        <f>BK56-BJ56</f>
        <v>0.17273716508039838</v>
      </c>
      <c r="BL57" s="113">
        <f t="shared" ref="BL57" si="531">BL56-BK56</f>
        <v>0.25717642234746796</v>
      </c>
      <c r="BM57" s="113">
        <f t="shared" ref="BM57" si="532">BM56-BL56</f>
        <v>0.42347876200476708</v>
      </c>
      <c r="BN57" s="113">
        <f t="shared" ref="BN57" si="533">BN56-BM56</f>
        <v>0.24519719984822874</v>
      </c>
      <c r="BO57" s="113">
        <f t="shared" ref="BO57" si="534">BO56-BN56</f>
        <v>0.22702241725729433</v>
      </c>
      <c r="BP57" s="113">
        <f t="shared" ref="BP57" si="535">BP56-BO56</f>
        <v>0.16952223483167828</v>
      </c>
      <c r="BQ57" s="113">
        <f t="shared" ref="BQ57" si="536">BQ56-BP56</f>
        <v>2.4813514756262478E-2</v>
      </c>
      <c r="BR57" s="113">
        <f t="shared" ref="BR57" si="537">BR56-BQ56</f>
        <v>-3.142721176008223E-4</v>
      </c>
      <c r="BS57" s="113">
        <f t="shared" ref="BS57" si="538">BS56-BR56</f>
        <v>-4.6447008985534666E-2</v>
      </c>
      <c r="BT57" s="113">
        <f t="shared" ref="BT57" si="539">BT56-BS56</f>
        <v>-0.1090706772164225</v>
      </c>
      <c r="BU57" s="113">
        <f t="shared" ref="BU57" si="540">BU56-BT56</f>
        <v>-9.7919213468099287E-2</v>
      </c>
      <c r="BV57" s="113">
        <f t="shared" ref="BV57" si="541">BV56-BU56</f>
        <v>-0.68673683729087287</v>
      </c>
    </row>
    <row r="58" spans="2:74" ht="20.05" customHeight="1" x14ac:dyDescent="0.4">
      <c r="B58" s="126" t="s">
        <v>73</v>
      </c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191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0"/>
      <c r="BC58" s="130"/>
      <c r="BD58" s="130"/>
      <c r="BE58" s="130"/>
      <c r="BF58" s="130"/>
      <c r="BG58" s="1" t="s">
        <v>7</v>
      </c>
      <c r="BH58" s="126" t="s">
        <v>73</v>
      </c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</row>
    <row r="59" spans="2:74" ht="20.05" customHeight="1" x14ac:dyDescent="0.4">
      <c r="B59" s="24" t="s">
        <v>63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192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1" t="s">
        <v>7</v>
      </c>
      <c r="BH59" s="180" t="s">
        <v>63</v>
      </c>
    </row>
    <row r="60" spans="2:74" ht="20.05" customHeight="1" x14ac:dyDescent="0.4">
      <c r="B60" s="70" t="s">
        <v>60</v>
      </c>
      <c r="C60" s="106">
        <f t="shared" ref="C60:AH60" si="542">C10/C42/1000</f>
        <v>0.29452571428571428</v>
      </c>
      <c r="D60" s="106">
        <f t="shared" si="542"/>
        <v>0.19454594594594596</v>
      </c>
      <c r="E60" s="106">
        <f t="shared" si="542"/>
        <v>0.20914778325123151</v>
      </c>
      <c r="F60" s="106">
        <f t="shared" si="542"/>
        <v>0.22639069767441861</v>
      </c>
      <c r="G60" s="106">
        <f t="shared" si="542"/>
        <v>0.21522083333333333</v>
      </c>
      <c r="H60" s="106">
        <f t="shared" si="542"/>
        <v>0.25096969696969695</v>
      </c>
      <c r="I60" s="106">
        <f t="shared" si="542"/>
        <v>0.25358167330677289</v>
      </c>
      <c r="J60" s="106">
        <f t="shared" si="542"/>
        <v>0.25679699248120302</v>
      </c>
      <c r="K60" s="106">
        <f t="shared" si="542"/>
        <v>0.25324398625429551</v>
      </c>
      <c r="L60" s="106">
        <f t="shared" si="542"/>
        <v>0.35138333333333333</v>
      </c>
      <c r="M60" s="193">
        <f t="shared" si="542"/>
        <v>0.36512845030580565</v>
      </c>
      <c r="N60" s="106">
        <f t="shared" si="542"/>
        <v>0.33014149593538245</v>
      </c>
      <c r="O60" s="106">
        <f t="shared" si="542"/>
        <v>0.34116720454665722</v>
      </c>
      <c r="P60" s="106">
        <f t="shared" si="542"/>
        <v>0.41510272621904382</v>
      </c>
      <c r="Q60" s="106">
        <f t="shared" si="542"/>
        <v>0.4688774232272902</v>
      </c>
      <c r="R60" s="106">
        <f t="shared" si="542"/>
        <v>0.40858174946632697</v>
      </c>
      <c r="S60" s="106">
        <f t="shared" si="542"/>
        <v>0.43943876985180469</v>
      </c>
      <c r="T60" s="106">
        <f t="shared" si="542"/>
        <v>0.52829845005127762</v>
      </c>
      <c r="U60" s="106">
        <f t="shared" si="542"/>
        <v>0.590185828365281</v>
      </c>
      <c r="V60" s="106">
        <f t="shared" si="542"/>
        <v>0.49386992830434912</v>
      </c>
      <c r="W60" s="106">
        <f t="shared" si="542"/>
        <v>0.55064778843488171</v>
      </c>
      <c r="X60" s="106">
        <f t="shared" si="542"/>
        <v>0.65374670560816484</v>
      </c>
      <c r="Y60" s="106">
        <f t="shared" si="542"/>
        <v>0.72312041213697187</v>
      </c>
      <c r="Z60" s="106">
        <f t="shared" si="542"/>
        <v>0.58524449129321265</v>
      </c>
      <c r="AA60" s="106">
        <f t="shared" si="542"/>
        <v>0.66975532359081413</v>
      </c>
      <c r="AB60" s="106">
        <f t="shared" si="542"/>
        <v>0.78631975180972069</v>
      </c>
      <c r="AC60" s="106">
        <f t="shared" si="542"/>
        <v>0.86259043743641906</v>
      </c>
      <c r="AD60" s="106">
        <f t="shared" si="542"/>
        <v>0.67725425425425434</v>
      </c>
      <c r="AE60" s="106">
        <f t="shared" si="542"/>
        <v>0.7946816437007872</v>
      </c>
      <c r="AF60" s="106">
        <f t="shared" si="542"/>
        <v>0.92417460861056722</v>
      </c>
      <c r="AG60" s="106">
        <f t="shared" si="542"/>
        <v>1.0072124637681159</v>
      </c>
      <c r="AH60" s="106">
        <f t="shared" si="542"/>
        <v>0.77034833015267157</v>
      </c>
      <c r="AI60" s="106">
        <f t="shared" ref="AI60:BF60" si="543">AI10/AI42/1000</f>
        <v>0.91447365945437442</v>
      </c>
      <c r="AJ60" s="106">
        <f t="shared" si="543"/>
        <v>1.0555112359550558</v>
      </c>
      <c r="AK60" s="106">
        <f t="shared" si="543"/>
        <v>1.1441249999999996</v>
      </c>
      <c r="AL60" s="106">
        <f t="shared" si="543"/>
        <v>0.85345421245421249</v>
      </c>
      <c r="AM60" s="106">
        <f t="shared" si="543"/>
        <v>1.0603764705882357</v>
      </c>
      <c r="AN60" s="106">
        <f t="shared" si="543"/>
        <v>1.2170786390265884</v>
      </c>
      <c r="AO60" s="106">
        <f t="shared" si="543"/>
        <v>1.313800624442462</v>
      </c>
      <c r="AP60" s="106">
        <f t="shared" si="543"/>
        <v>0.97337350993377481</v>
      </c>
      <c r="AQ60" s="106">
        <f t="shared" si="543"/>
        <v>1.202384127678181</v>
      </c>
      <c r="AR60" s="106">
        <f t="shared" si="543"/>
        <v>1.3748372549019612</v>
      </c>
      <c r="AS60" s="106">
        <f t="shared" si="543"/>
        <v>1.4797425550280539</v>
      </c>
      <c r="AT60" s="106">
        <f t="shared" si="543"/>
        <v>1.0909307396323216</v>
      </c>
      <c r="AU60" s="106">
        <f t="shared" si="543"/>
        <v>1.3372496823379927</v>
      </c>
      <c r="AV60" s="106">
        <f t="shared" si="543"/>
        <v>1.5252100042211902</v>
      </c>
      <c r="AW60" s="106">
        <f t="shared" si="543"/>
        <v>1.6379529485570898</v>
      </c>
      <c r="AX60" s="106">
        <f t="shared" si="543"/>
        <v>1.2030779113137173</v>
      </c>
      <c r="AY60" s="106">
        <f t="shared" si="543"/>
        <v>1.4648223819301851</v>
      </c>
      <c r="AZ60" s="106">
        <f t="shared" si="543"/>
        <v>1.6681553417928783</v>
      </c>
      <c r="BA60" s="106">
        <f t="shared" si="543"/>
        <v>1.7885726166328599</v>
      </c>
      <c r="BB60" s="106">
        <f t="shared" si="543"/>
        <v>1.31008082026538</v>
      </c>
      <c r="BC60" s="106">
        <f t="shared" si="543"/>
        <v>1.5404246711837386</v>
      </c>
      <c r="BD60" s="106">
        <f t="shared" si="543"/>
        <v>1.7590065554231229</v>
      </c>
      <c r="BE60" s="106">
        <f t="shared" si="543"/>
        <v>1.8869462386766442</v>
      </c>
      <c r="BF60" s="106">
        <f t="shared" si="543"/>
        <v>1.3821745411948456</v>
      </c>
      <c r="BG60" s="1" t="s">
        <v>7</v>
      </c>
      <c r="BH60" s="70" t="s">
        <v>60</v>
      </c>
      <c r="BI60" s="108">
        <f>BI10/BI42/1000</f>
        <v>0.83099534883720938</v>
      </c>
      <c r="BJ60" s="108">
        <f t="shared" ref="BJ60:BV60" si="544">BJ10/BJ42/1000</f>
        <v>0.90821052631578947</v>
      </c>
      <c r="BK60" s="108">
        <f t="shared" si="544"/>
        <v>1.2279297808615905</v>
      </c>
      <c r="BL60" s="108">
        <f t="shared" si="544"/>
        <v>1.5548773246626937</v>
      </c>
      <c r="BM60" s="108">
        <f t="shared" si="544"/>
        <v>1.9760706434499544</v>
      </c>
      <c r="BN60" s="108">
        <f t="shared" si="544"/>
        <v>2.4422001103169264</v>
      </c>
      <c r="BO60" s="108">
        <f t="shared" si="544"/>
        <v>2.9294296296296292</v>
      </c>
      <c r="BP60" s="108">
        <f t="shared" si="544"/>
        <v>3.4367299141221364</v>
      </c>
      <c r="BQ60" s="108">
        <f t="shared" si="544"/>
        <v>3.907507783882783</v>
      </c>
      <c r="BR60" s="108">
        <f t="shared" si="544"/>
        <v>4.5008218543046361</v>
      </c>
      <c r="BS60" s="108">
        <f t="shared" si="544"/>
        <v>5.0813828559213343</v>
      </c>
      <c r="BT60" s="108">
        <f t="shared" si="544"/>
        <v>5.6319276833816838</v>
      </c>
      <c r="BU60" s="108">
        <f t="shared" si="544"/>
        <v>6.155668878166467</v>
      </c>
      <c r="BV60" s="108">
        <f t="shared" si="544"/>
        <v>6.4908436157750877</v>
      </c>
    </row>
    <row r="61" spans="2:74" ht="20.05" customHeight="1" x14ac:dyDescent="0.4">
      <c r="B61" s="182" t="s">
        <v>61</v>
      </c>
      <c r="C61" s="183">
        <f t="shared" ref="C61:AH61" si="545">C16/C42/1000</f>
        <v>0.18030857142857143</v>
      </c>
      <c r="D61" s="183">
        <f t="shared" si="545"/>
        <v>0.20209729729729731</v>
      </c>
      <c r="E61" s="183">
        <f t="shared" si="545"/>
        <v>0.20674876847290638</v>
      </c>
      <c r="F61" s="183">
        <f t="shared" si="545"/>
        <v>0.24000930232558138</v>
      </c>
      <c r="G61" s="183">
        <f t="shared" si="545"/>
        <v>0.23239166666666669</v>
      </c>
      <c r="H61" s="183">
        <f t="shared" si="545"/>
        <v>0.28202597402597407</v>
      </c>
      <c r="I61" s="183">
        <f t="shared" si="545"/>
        <v>0.26582470119521912</v>
      </c>
      <c r="J61" s="183">
        <f t="shared" si="545"/>
        <v>0.27174812030075191</v>
      </c>
      <c r="K61" s="183">
        <f t="shared" si="545"/>
        <v>0.24894845360824744</v>
      </c>
      <c r="L61" s="183">
        <f t="shared" si="545"/>
        <v>0.98973</v>
      </c>
      <c r="M61" s="194">
        <f t="shared" si="545"/>
        <v>0.39194030873650226</v>
      </c>
      <c r="N61" s="183">
        <f t="shared" si="545"/>
        <v>0.42107092213728892</v>
      </c>
      <c r="O61" s="183">
        <f t="shared" si="545"/>
        <v>0.36550069331083496</v>
      </c>
      <c r="P61" s="183">
        <f t="shared" si="545"/>
        <v>0.43879349483514341</v>
      </c>
      <c r="Q61" s="183">
        <f t="shared" si="545"/>
        <v>0.49173593709727231</v>
      </c>
      <c r="R61" s="183">
        <f t="shared" si="545"/>
        <v>0.51166192755266271</v>
      </c>
      <c r="S61" s="183">
        <f t="shared" si="545"/>
        <v>0.45416576851853002</v>
      </c>
      <c r="T61" s="183">
        <f t="shared" si="545"/>
        <v>0.54135022251570875</v>
      </c>
      <c r="U61" s="183">
        <f t="shared" si="545"/>
        <v>0.6017929942685627</v>
      </c>
      <c r="V61" s="183">
        <f t="shared" si="545"/>
        <v>0.60558887764858949</v>
      </c>
      <c r="W61" s="183">
        <f t="shared" si="545"/>
        <v>0.55314448554429196</v>
      </c>
      <c r="X61" s="183">
        <f t="shared" si="545"/>
        <v>0.65291668640465728</v>
      </c>
      <c r="Y61" s="183">
        <f t="shared" si="545"/>
        <v>0.71983551315663041</v>
      </c>
      <c r="Z61" s="183">
        <f t="shared" si="545"/>
        <v>0.70468697177458584</v>
      </c>
      <c r="AA61" s="183">
        <f t="shared" si="545"/>
        <v>0.6491498824634655</v>
      </c>
      <c r="AB61" s="183">
        <f t="shared" si="545"/>
        <v>0.76212813319544981</v>
      </c>
      <c r="AC61" s="183">
        <f t="shared" si="545"/>
        <v>0.8360523035096642</v>
      </c>
      <c r="AD61" s="183">
        <f t="shared" si="545"/>
        <v>0.80079158708708698</v>
      </c>
      <c r="AE61" s="183">
        <f t="shared" si="545"/>
        <v>0.76943127534448807</v>
      </c>
      <c r="AF61" s="183">
        <f t="shared" si="545"/>
        <v>0.89480970572407026</v>
      </c>
      <c r="AG61" s="183">
        <f t="shared" si="545"/>
        <v>0.97520909999999983</v>
      </c>
      <c r="AH61" s="183">
        <f t="shared" si="545"/>
        <v>0.91753988609255699</v>
      </c>
      <c r="AI61" s="183">
        <f t="shared" ref="AI61:BF61" si="546">AI16/AI42/1000</f>
        <v>0.89968204801269958</v>
      </c>
      <c r="AJ61" s="183">
        <f t="shared" si="546"/>
        <v>1.0384383417134828</v>
      </c>
      <c r="AK61" s="183">
        <f t="shared" si="546"/>
        <v>1.1256187781249996</v>
      </c>
      <c r="AL61" s="183">
        <f t="shared" si="546"/>
        <v>1.0460041509615381</v>
      </c>
      <c r="AM61" s="183">
        <f t="shared" si="546"/>
        <v>1.0255431035294116</v>
      </c>
      <c r="AN61" s="183">
        <f t="shared" si="546"/>
        <v>1.1770976057345646</v>
      </c>
      <c r="AO61" s="183">
        <f t="shared" si="546"/>
        <v>1.2706422739295269</v>
      </c>
      <c r="AP61" s="183">
        <f t="shared" si="546"/>
        <v>1.1686322360264898</v>
      </c>
      <c r="AQ61" s="183">
        <f t="shared" si="546"/>
        <v>1.1428360537549187</v>
      </c>
      <c r="AR61" s="183">
        <f t="shared" si="546"/>
        <v>1.306748439852941</v>
      </c>
      <c r="AS61" s="183">
        <f t="shared" si="546"/>
        <v>1.4064583049902888</v>
      </c>
      <c r="AT61" s="183">
        <f t="shared" si="546"/>
        <v>1.2824845408775114</v>
      </c>
      <c r="AU61" s="183">
        <f t="shared" si="546"/>
        <v>1.2487237533672166</v>
      </c>
      <c r="AV61" s="183">
        <f t="shared" si="546"/>
        <v>1.4242411019417474</v>
      </c>
      <c r="AW61" s="183">
        <f t="shared" si="546"/>
        <v>1.5295204633626096</v>
      </c>
      <c r="AX61" s="183">
        <f t="shared" si="546"/>
        <v>1.3842313678097797</v>
      </c>
      <c r="AY61" s="183">
        <f t="shared" si="546"/>
        <v>1.3434252270277205</v>
      </c>
      <c r="AZ61" s="183">
        <f t="shared" si="546"/>
        <v>1.5299069678417927</v>
      </c>
      <c r="BA61" s="183">
        <f t="shared" si="546"/>
        <v>1.6403446610294112</v>
      </c>
      <c r="BB61" s="183">
        <f t="shared" si="546"/>
        <v>1.4745778432599512</v>
      </c>
      <c r="BC61" s="183">
        <f t="shared" si="546"/>
        <v>1.3870753951673969</v>
      </c>
      <c r="BD61" s="183">
        <f t="shared" si="546"/>
        <v>1.5838974528307503</v>
      </c>
      <c r="BE61" s="183">
        <f t="shared" si="546"/>
        <v>1.6991007406163841</v>
      </c>
      <c r="BF61" s="183">
        <f t="shared" si="546"/>
        <v>1.5211521913119868</v>
      </c>
      <c r="BG61" s="1" t="s">
        <v>7</v>
      </c>
      <c r="BH61" s="182" t="s">
        <v>61</v>
      </c>
      <c r="BI61" s="174">
        <f>BI16/BI42/1000</f>
        <v>0.75587906976744179</v>
      </c>
      <c r="BJ61" s="174">
        <f t="shared" ref="BJ61:BV61" si="547">BJ16/BJ42/1000</f>
        <v>0.97717669172932331</v>
      </c>
      <c r="BK61" s="174">
        <f t="shared" si="547"/>
        <v>1.9263806676690731</v>
      </c>
      <c r="BL61" s="174">
        <f t="shared" si="547"/>
        <v>1.7240073857008467</v>
      </c>
      <c r="BM61" s="174">
        <f t="shared" si="547"/>
        <v>2.1251052737048228</v>
      </c>
      <c r="BN61" s="174">
        <f t="shared" si="547"/>
        <v>2.5599914123651519</v>
      </c>
      <c r="BO61" s="174">
        <f t="shared" si="547"/>
        <v>2.9836773794294289</v>
      </c>
      <c r="BP61" s="174">
        <f t="shared" si="547"/>
        <v>3.4991993455391213</v>
      </c>
      <c r="BQ61" s="174">
        <f t="shared" si="547"/>
        <v>4.0506584058722508</v>
      </c>
      <c r="BR61" s="174">
        <f t="shared" si="547"/>
        <v>4.5802039022847669</v>
      </c>
      <c r="BS61" s="174">
        <f t="shared" si="547"/>
        <v>5.0753095161073087</v>
      </c>
      <c r="BT61" s="174">
        <f t="shared" si="547"/>
        <v>5.5198912849668442</v>
      </c>
      <c r="BU61" s="174">
        <f t="shared" si="547"/>
        <v>5.9185877908624835</v>
      </c>
      <c r="BV61" s="174">
        <f t="shared" si="547"/>
        <v>6.1212532595177649</v>
      </c>
    </row>
    <row r="62" spans="2:74" ht="20.05" customHeight="1" x14ac:dyDescent="0.4">
      <c r="B62" s="70" t="s">
        <v>64</v>
      </c>
      <c r="C62" s="106">
        <f>C60+C61</f>
        <v>0.47483428571428571</v>
      </c>
      <c r="D62" s="106">
        <f t="shared" ref="D62:BF62" si="548">D60+D61</f>
        <v>0.39664324324324329</v>
      </c>
      <c r="E62" s="106">
        <f t="shared" si="548"/>
        <v>0.41589655172413786</v>
      </c>
      <c r="F62" s="106">
        <f t="shared" si="548"/>
        <v>0.46639999999999998</v>
      </c>
      <c r="G62" s="106">
        <f t="shared" si="548"/>
        <v>0.44761250000000002</v>
      </c>
      <c r="H62" s="106">
        <f t="shared" si="548"/>
        <v>0.53299567099567102</v>
      </c>
      <c r="I62" s="106">
        <f t="shared" si="548"/>
        <v>0.51940637450199201</v>
      </c>
      <c r="J62" s="106">
        <f t="shared" si="548"/>
        <v>0.52854511278195493</v>
      </c>
      <c r="K62" s="106">
        <f t="shared" si="548"/>
        <v>0.50219243986254292</v>
      </c>
      <c r="L62" s="106">
        <f t="shared" si="548"/>
        <v>1.3411133333333334</v>
      </c>
      <c r="M62" s="193">
        <f t="shared" si="548"/>
        <v>0.75706875904230797</v>
      </c>
      <c r="N62" s="106">
        <f t="shared" si="548"/>
        <v>0.75121241807267136</v>
      </c>
      <c r="O62" s="106">
        <f t="shared" si="548"/>
        <v>0.70666789785749218</v>
      </c>
      <c r="P62" s="106">
        <f t="shared" si="548"/>
        <v>0.85389622105418717</v>
      </c>
      <c r="Q62" s="106">
        <f t="shared" si="548"/>
        <v>0.96061336032456257</v>
      </c>
      <c r="R62" s="106">
        <f t="shared" si="548"/>
        <v>0.92024367701898968</v>
      </c>
      <c r="S62" s="106">
        <f t="shared" si="548"/>
        <v>0.89360453837033471</v>
      </c>
      <c r="T62" s="106">
        <f t="shared" si="548"/>
        <v>1.0696486725669865</v>
      </c>
      <c r="U62" s="106">
        <f t="shared" si="548"/>
        <v>1.1919788226338437</v>
      </c>
      <c r="V62" s="106">
        <f t="shared" si="548"/>
        <v>1.0994588059529387</v>
      </c>
      <c r="W62" s="106">
        <f t="shared" si="548"/>
        <v>1.1037922739791737</v>
      </c>
      <c r="X62" s="106">
        <f t="shared" si="548"/>
        <v>1.3066633920128221</v>
      </c>
      <c r="Y62" s="106">
        <f t="shared" si="548"/>
        <v>1.4429559252936022</v>
      </c>
      <c r="Z62" s="106">
        <f t="shared" si="548"/>
        <v>1.2899314630677985</v>
      </c>
      <c r="AA62" s="106">
        <f t="shared" si="548"/>
        <v>1.3189052060542796</v>
      </c>
      <c r="AB62" s="106">
        <f t="shared" si="548"/>
        <v>1.5484478850051704</v>
      </c>
      <c r="AC62" s="106">
        <f t="shared" si="548"/>
        <v>1.6986427409460831</v>
      </c>
      <c r="AD62" s="106">
        <f t="shared" si="548"/>
        <v>1.4780458413413413</v>
      </c>
      <c r="AE62" s="106">
        <f t="shared" si="548"/>
        <v>1.5641129190452752</v>
      </c>
      <c r="AF62" s="106">
        <f t="shared" si="548"/>
        <v>1.8189843143346374</v>
      </c>
      <c r="AG62" s="106">
        <f t="shared" si="548"/>
        <v>1.9824215637681157</v>
      </c>
      <c r="AH62" s="106">
        <f t="shared" si="548"/>
        <v>1.6878882162452284</v>
      </c>
      <c r="AI62" s="106">
        <f t="shared" si="548"/>
        <v>1.814155707467074</v>
      </c>
      <c r="AJ62" s="106">
        <f t="shared" si="548"/>
        <v>2.0939495776685386</v>
      </c>
      <c r="AK62" s="106">
        <f t="shared" si="548"/>
        <v>2.2697437781249992</v>
      </c>
      <c r="AL62" s="106">
        <f t="shared" si="548"/>
        <v>1.8994583634157505</v>
      </c>
      <c r="AM62" s="106">
        <f t="shared" si="548"/>
        <v>2.0859195741176473</v>
      </c>
      <c r="AN62" s="106">
        <f t="shared" si="548"/>
        <v>2.394176244761153</v>
      </c>
      <c r="AO62" s="106">
        <f t="shared" si="548"/>
        <v>2.5844428983719889</v>
      </c>
      <c r="AP62" s="106">
        <f t="shared" si="548"/>
        <v>2.1420057459602644</v>
      </c>
      <c r="AQ62" s="106">
        <f t="shared" si="548"/>
        <v>2.3452201814331</v>
      </c>
      <c r="AR62" s="106">
        <f t="shared" si="548"/>
        <v>2.6815856947549022</v>
      </c>
      <c r="AS62" s="106">
        <f t="shared" si="548"/>
        <v>2.8862008600183424</v>
      </c>
      <c r="AT62" s="106">
        <f t="shared" si="548"/>
        <v>2.3734152805098327</v>
      </c>
      <c r="AU62" s="106">
        <f t="shared" si="548"/>
        <v>2.5859734357052093</v>
      </c>
      <c r="AV62" s="106">
        <f t="shared" si="548"/>
        <v>2.9494511061629378</v>
      </c>
      <c r="AW62" s="106">
        <f t="shared" si="548"/>
        <v>3.1674734119196994</v>
      </c>
      <c r="AX62" s="106">
        <f t="shared" si="548"/>
        <v>2.5873092791234971</v>
      </c>
      <c r="AY62" s="106">
        <f t="shared" si="548"/>
        <v>2.8082476089579056</v>
      </c>
      <c r="AZ62" s="106">
        <f t="shared" si="548"/>
        <v>3.198062309634671</v>
      </c>
      <c r="BA62" s="106">
        <f t="shared" si="548"/>
        <v>3.4289172776622712</v>
      </c>
      <c r="BB62" s="106">
        <f t="shared" si="548"/>
        <v>2.784658663525331</v>
      </c>
      <c r="BC62" s="106">
        <f t="shared" si="548"/>
        <v>2.9275000663511355</v>
      </c>
      <c r="BD62" s="106">
        <f t="shared" si="548"/>
        <v>3.342904008253873</v>
      </c>
      <c r="BE62" s="106">
        <f t="shared" si="548"/>
        <v>3.5860469792930285</v>
      </c>
      <c r="BF62" s="106">
        <f t="shared" si="548"/>
        <v>2.9033267325068324</v>
      </c>
      <c r="BG62" s="1" t="s">
        <v>7</v>
      </c>
      <c r="BH62" s="70" t="s">
        <v>64</v>
      </c>
      <c r="BI62" s="108">
        <f>BI60+BI61</f>
        <v>1.5868744186046513</v>
      </c>
      <c r="BJ62" s="108">
        <f t="shared" ref="BJ62:BV62" si="549">BJ60+BJ61</f>
        <v>1.8853872180451128</v>
      </c>
      <c r="BK62" s="108">
        <f t="shared" si="549"/>
        <v>3.1543104485306639</v>
      </c>
      <c r="BL62" s="108">
        <f t="shared" si="549"/>
        <v>3.2788847103635401</v>
      </c>
      <c r="BM62" s="108">
        <f t="shared" si="549"/>
        <v>4.1011759171547775</v>
      </c>
      <c r="BN62" s="108">
        <f t="shared" si="549"/>
        <v>5.0021915226820788</v>
      </c>
      <c r="BO62" s="108">
        <f t="shared" si="549"/>
        <v>5.9131070090590576</v>
      </c>
      <c r="BP62" s="108">
        <f t="shared" si="549"/>
        <v>6.9359292596612576</v>
      </c>
      <c r="BQ62" s="108">
        <f t="shared" si="549"/>
        <v>7.9581661897550333</v>
      </c>
      <c r="BR62" s="108">
        <f t="shared" si="549"/>
        <v>9.081025756589403</v>
      </c>
      <c r="BS62" s="108">
        <f t="shared" si="549"/>
        <v>10.156692372028644</v>
      </c>
      <c r="BT62" s="108">
        <f t="shared" si="549"/>
        <v>11.151818968348529</v>
      </c>
      <c r="BU62" s="108">
        <f t="shared" si="549"/>
        <v>12.074256669028951</v>
      </c>
      <c r="BV62" s="108">
        <f t="shared" si="549"/>
        <v>12.612096875292853</v>
      </c>
    </row>
    <row r="63" spans="2:74" ht="20.05" customHeight="1" x14ac:dyDescent="0.4">
      <c r="B63" s="129" t="s">
        <v>65</v>
      </c>
      <c r="C63" s="4">
        <f>(C54-C60)/C54</f>
        <v>0.3989271137026239</v>
      </c>
      <c r="D63" s="4">
        <f t="shared" ref="D63:BF63" si="550">(D54-D60)/D54</f>
        <v>0.6525965250965251</v>
      </c>
      <c r="E63" s="4">
        <f t="shared" si="550"/>
        <v>0.65142036124794744</v>
      </c>
      <c r="F63" s="4">
        <f t="shared" si="550"/>
        <v>0.72724012328383292</v>
      </c>
      <c r="G63" s="4">
        <f t="shared" si="550"/>
        <v>0.62892959770114942</v>
      </c>
      <c r="H63" s="4">
        <f t="shared" si="550"/>
        <v>0.63627580149319274</v>
      </c>
      <c r="I63" s="4">
        <f t="shared" si="550"/>
        <v>0.6790105401180091</v>
      </c>
      <c r="J63" s="4">
        <f t="shared" si="550"/>
        <v>0.75773868633848773</v>
      </c>
      <c r="K63" s="4">
        <f t="shared" si="550"/>
        <v>0.6530904297886363</v>
      </c>
      <c r="L63" s="4">
        <f t="shared" si="550"/>
        <v>0.60070075757575769</v>
      </c>
      <c r="M63" s="50">
        <f t="shared" si="550"/>
        <v>0.64581896354816037</v>
      </c>
      <c r="N63" s="4">
        <f t="shared" si="550"/>
        <v>0.74683113087831232</v>
      </c>
      <c r="O63" s="4">
        <f t="shared" si="550"/>
        <v>0.64594115952520104</v>
      </c>
      <c r="P63" s="4">
        <f t="shared" si="550"/>
        <v>0.64676548018414637</v>
      </c>
      <c r="Q63" s="4">
        <f t="shared" si="550"/>
        <v>0.64724495041313423</v>
      </c>
      <c r="R63" s="4">
        <f t="shared" si="550"/>
        <v>0.74781956646759451</v>
      </c>
      <c r="S63" s="4">
        <f t="shared" si="550"/>
        <v>0.65735935829971448</v>
      </c>
      <c r="T63" s="4">
        <f t="shared" si="550"/>
        <v>0.65784976979000043</v>
      </c>
      <c r="U63" s="4">
        <f t="shared" si="550"/>
        <v>0.65812966653396987</v>
      </c>
      <c r="V63" s="4">
        <f t="shared" si="550"/>
        <v>0.7584631046030913</v>
      </c>
      <c r="W63" s="4">
        <f t="shared" si="550"/>
        <v>0.66816389300676338</v>
      </c>
      <c r="X63" s="4">
        <f t="shared" si="550"/>
        <v>0.66847553223520184</v>
      </c>
      <c r="Y63" s="4">
        <f t="shared" si="550"/>
        <v>0.66865102408818</v>
      </c>
      <c r="Z63" s="4">
        <f t="shared" si="550"/>
        <v>0.76886088285416332</v>
      </c>
      <c r="AA63" s="4">
        <f t="shared" si="550"/>
        <v>0.68000000000000016</v>
      </c>
      <c r="AB63" s="4">
        <f t="shared" si="550"/>
        <v>0.68</v>
      </c>
      <c r="AC63" s="4">
        <f t="shared" si="550"/>
        <v>0.68</v>
      </c>
      <c r="AD63" s="4">
        <f t="shared" si="550"/>
        <v>0.77999999999999992</v>
      </c>
      <c r="AE63" s="4">
        <f t="shared" si="550"/>
        <v>0.69000000000000017</v>
      </c>
      <c r="AF63" s="4">
        <f t="shared" si="550"/>
        <v>0.69000000000000017</v>
      </c>
      <c r="AG63" s="4">
        <f t="shared" si="550"/>
        <v>0.69000000000000006</v>
      </c>
      <c r="AH63" s="4">
        <f t="shared" si="550"/>
        <v>0.79</v>
      </c>
      <c r="AI63" s="4">
        <f t="shared" si="550"/>
        <v>0.70000000000000007</v>
      </c>
      <c r="AJ63" s="4">
        <f t="shared" si="550"/>
        <v>0.70000000000000007</v>
      </c>
      <c r="AK63" s="4">
        <f t="shared" si="550"/>
        <v>0.70000000000000007</v>
      </c>
      <c r="AL63" s="4">
        <f t="shared" si="550"/>
        <v>0.79999999999999993</v>
      </c>
      <c r="AM63" s="4">
        <f t="shared" si="550"/>
        <v>0.69999999999999984</v>
      </c>
      <c r="AN63" s="4">
        <f t="shared" si="550"/>
        <v>0.7</v>
      </c>
      <c r="AO63" s="4">
        <f t="shared" si="550"/>
        <v>0.70000000000000007</v>
      </c>
      <c r="AP63" s="4">
        <f t="shared" si="550"/>
        <v>0.8</v>
      </c>
      <c r="AQ63" s="4">
        <f t="shared" si="550"/>
        <v>0.7</v>
      </c>
      <c r="AR63" s="4">
        <f t="shared" si="550"/>
        <v>0.69999999999999984</v>
      </c>
      <c r="AS63" s="4">
        <f t="shared" si="550"/>
        <v>0.7</v>
      </c>
      <c r="AT63" s="4">
        <f t="shared" si="550"/>
        <v>0.79999999999999993</v>
      </c>
      <c r="AU63" s="4">
        <f t="shared" si="550"/>
        <v>0.7</v>
      </c>
      <c r="AV63" s="4">
        <f t="shared" si="550"/>
        <v>0.70000000000000007</v>
      </c>
      <c r="AW63" s="4">
        <f t="shared" si="550"/>
        <v>0.69999999999999984</v>
      </c>
      <c r="AX63" s="4">
        <f t="shared" si="550"/>
        <v>0.8</v>
      </c>
      <c r="AY63" s="4">
        <f t="shared" si="550"/>
        <v>0.7</v>
      </c>
      <c r="AZ63" s="4">
        <f t="shared" si="550"/>
        <v>0.7</v>
      </c>
      <c r="BA63" s="4">
        <f t="shared" si="550"/>
        <v>0.70000000000000007</v>
      </c>
      <c r="BB63" s="4">
        <f t="shared" si="550"/>
        <v>0.79999999999999993</v>
      </c>
      <c r="BC63" s="4">
        <f t="shared" si="550"/>
        <v>0.7</v>
      </c>
      <c r="BD63" s="4">
        <f t="shared" si="550"/>
        <v>0.70000000000000007</v>
      </c>
      <c r="BE63" s="4">
        <f t="shared" si="550"/>
        <v>0.7</v>
      </c>
      <c r="BF63" s="4">
        <f t="shared" si="550"/>
        <v>0.8</v>
      </c>
      <c r="BG63" s="1" t="s">
        <v>7</v>
      </c>
      <c r="BH63" s="129" t="s">
        <v>65</v>
      </c>
      <c r="BI63" s="4">
        <f t="shared" ref="BI63:BV63" si="551">(BI54-BI60)/BI54</f>
        <v>0.63689130964962193</v>
      </c>
      <c r="BJ63" s="4">
        <f t="shared" si="551"/>
        <v>0.6917667172767521</v>
      </c>
      <c r="BK63" s="4">
        <f t="shared" si="551"/>
        <v>0.6749088861653415</v>
      </c>
      <c r="BL63" s="4">
        <f t="shared" si="551"/>
        <v>0.68039821123152466</v>
      </c>
      <c r="BM63" s="4">
        <f t="shared" si="551"/>
        <v>0.69009540047541695</v>
      </c>
      <c r="BN63" s="4">
        <f t="shared" si="551"/>
        <v>0.69971419322804862</v>
      </c>
      <c r="BO63" s="4">
        <f t="shared" si="551"/>
        <v>0.71042984813523369</v>
      </c>
      <c r="BP63" s="4">
        <f t="shared" si="551"/>
        <v>0.71989778352754363</v>
      </c>
      <c r="BQ63" s="4">
        <f t="shared" si="551"/>
        <v>0.7295365007005622</v>
      </c>
      <c r="BR63" s="4">
        <f t="shared" si="551"/>
        <v>0.72927434074372288</v>
      </c>
      <c r="BS63" s="4">
        <f t="shared" si="551"/>
        <v>0.72908193083942663</v>
      </c>
      <c r="BT63" s="4">
        <f t="shared" si="551"/>
        <v>0.72895045359942634</v>
      </c>
      <c r="BU63" s="4">
        <f t="shared" si="551"/>
        <v>0.72885340053750591</v>
      </c>
      <c r="BV63" s="4">
        <f t="shared" si="551"/>
        <v>0.72886774941995358</v>
      </c>
    </row>
    <row r="64" spans="2:74" ht="20.05" customHeight="1" x14ac:dyDescent="0.4">
      <c r="B64" s="129" t="s">
        <v>66</v>
      </c>
      <c r="C64" s="4">
        <f>(C54-C62)/C54</f>
        <v>3.0950437317784251E-2</v>
      </c>
      <c r="D64" s="4">
        <f t="shared" ref="D64:BF64" si="552">(D54-D62)/D54</f>
        <v>0.29170849420849421</v>
      </c>
      <c r="E64" s="4">
        <f t="shared" si="552"/>
        <v>0.30683908045977021</v>
      </c>
      <c r="F64" s="4">
        <f t="shared" si="552"/>
        <v>0.43807228915662649</v>
      </c>
      <c r="G64" s="4">
        <f t="shared" si="552"/>
        <v>0.22825431034482749</v>
      </c>
      <c r="H64" s="4">
        <f t="shared" si="552"/>
        <v>0.22754250580337526</v>
      </c>
      <c r="I64" s="4">
        <f t="shared" si="552"/>
        <v>0.34252357657975696</v>
      </c>
      <c r="J64" s="4">
        <f t="shared" si="552"/>
        <v>0.50137253511136326</v>
      </c>
      <c r="K64" s="4">
        <f t="shared" si="552"/>
        <v>0.31206515087322889</v>
      </c>
      <c r="L64" s="4">
        <f t="shared" si="552"/>
        <v>-0.52399242424242432</v>
      </c>
      <c r="M64" s="50">
        <f t="shared" si="552"/>
        <v>0.26562995154626218</v>
      </c>
      <c r="N64" s="4">
        <f t="shared" si="552"/>
        <v>0.42393306901701716</v>
      </c>
      <c r="O64" s="4">
        <f t="shared" si="552"/>
        <v>0.26662934425758883</v>
      </c>
      <c r="P64" s="4">
        <f t="shared" si="552"/>
        <v>0.27337113787712353</v>
      </c>
      <c r="Q64" s="4">
        <f t="shared" si="552"/>
        <v>0.27729253581307001</v>
      </c>
      <c r="R64" s="4">
        <f t="shared" si="552"/>
        <v>0.43201709393720839</v>
      </c>
      <c r="S64" s="4">
        <f t="shared" si="552"/>
        <v>0.30323573280355748</v>
      </c>
      <c r="T64" s="4">
        <f t="shared" si="552"/>
        <v>0.3072466150012515</v>
      </c>
      <c r="U64" s="4">
        <f t="shared" si="552"/>
        <v>0.30953578009998467</v>
      </c>
      <c r="V64" s="4">
        <f t="shared" si="552"/>
        <v>0.46228783858446848</v>
      </c>
      <c r="W64" s="4">
        <f t="shared" si="552"/>
        <v>0.33482320492461903</v>
      </c>
      <c r="X64" s="4">
        <f t="shared" si="552"/>
        <v>0.33737197928697832</v>
      </c>
      <c r="Y64" s="4">
        <f t="shared" si="552"/>
        <v>0.33880725795171873</v>
      </c>
      <c r="Z64" s="4">
        <f t="shared" si="552"/>
        <v>0.49054861004620587</v>
      </c>
      <c r="AA64" s="4">
        <f t="shared" si="552"/>
        <v>0.36984500000000015</v>
      </c>
      <c r="AB64" s="4">
        <f t="shared" si="552"/>
        <v>0.36984500000000009</v>
      </c>
      <c r="AC64" s="4">
        <f t="shared" si="552"/>
        <v>0.36984500000000009</v>
      </c>
      <c r="AD64" s="4">
        <f t="shared" si="552"/>
        <v>0.51987000000000005</v>
      </c>
      <c r="AE64" s="4">
        <f t="shared" si="552"/>
        <v>0.38985000000000014</v>
      </c>
      <c r="AF64" s="4">
        <f t="shared" si="552"/>
        <v>0.3898500000000002</v>
      </c>
      <c r="AG64" s="4">
        <f t="shared" si="552"/>
        <v>0.38985000000000003</v>
      </c>
      <c r="AH64" s="4">
        <f t="shared" si="552"/>
        <v>0.5398750000000001</v>
      </c>
      <c r="AI64" s="4">
        <f t="shared" si="552"/>
        <v>0.40485250000000012</v>
      </c>
      <c r="AJ64" s="4">
        <f t="shared" si="552"/>
        <v>0.40485250000000017</v>
      </c>
      <c r="AK64" s="4">
        <f t="shared" si="552"/>
        <v>0.40485250000000017</v>
      </c>
      <c r="AL64" s="4">
        <f t="shared" si="552"/>
        <v>0.55487750000000013</v>
      </c>
      <c r="AM64" s="4">
        <f t="shared" si="552"/>
        <v>0.40985499999999997</v>
      </c>
      <c r="AN64" s="4">
        <f t="shared" si="552"/>
        <v>0.40985499999999997</v>
      </c>
      <c r="AO64" s="4">
        <f t="shared" si="552"/>
        <v>0.40985500000000014</v>
      </c>
      <c r="AP64" s="4">
        <f t="shared" si="552"/>
        <v>0.55988000000000004</v>
      </c>
      <c r="AQ64" s="4">
        <f t="shared" si="552"/>
        <v>0.41485750000000005</v>
      </c>
      <c r="AR64" s="4">
        <f t="shared" si="552"/>
        <v>0.41485749999999988</v>
      </c>
      <c r="AS64" s="4">
        <f t="shared" si="552"/>
        <v>0.4148575000000001</v>
      </c>
      <c r="AT64" s="4">
        <f t="shared" si="552"/>
        <v>0.56488250000000007</v>
      </c>
      <c r="AU64" s="4">
        <f t="shared" si="552"/>
        <v>0.41986000000000012</v>
      </c>
      <c r="AV64" s="4">
        <f t="shared" si="552"/>
        <v>0.41986000000000001</v>
      </c>
      <c r="AW64" s="4">
        <f t="shared" si="552"/>
        <v>0.41986000000000001</v>
      </c>
      <c r="AX64" s="4">
        <f t="shared" si="552"/>
        <v>0.56988500000000009</v>
      </c>
      <c r="AY64" s="4">
        <f t="shared" si="552"/>
        <v>0.42486249999999998</v>
      </c>
      <c r="AZ64" s="4">
        <f t="shared" si="552"/>
        <v>0.42486249999999992</v>
      </c>
      <c r="BA64" s="4">
        <f t="shared" si="552"/>
        <v>0.42486250000000009</v>
      </c>
      <c r="BB64" s="4">
        <f t="shared" si="552"/>
        <v>0.57488750000000011</v>
      </c>
      <c r="BC64" s="4">
        <f t="shared" si="552"/>
        <v>0.42986500000000005</v>
      </c>
      <c r="BD64" s="4">
        <f t="shared" si="552"/>
        <v>0.42986500000000016</v>
      </c>
      <c r="BE64" s="4">
        <f t="shared" si="552"/>
        <v>0.42986500000000011</v>
      </c>
      <c r="BF64" s="4">
        <f t="shared" si="552"/>
        <v>0.57989000000000002</v>
      </c>
      <c r="BG64" s="1" t="s">
        <v>7</v>
      </c>
      <c r="BH64" s="129" t="s">
        <v>66</v>
      </c>
      <c r="BI64" s="4">
        <f t="shared" ref="BI64:BV64" si="553">(BI54-BI62)/BI54</f>
        <v>0.30660515405251598</v>
      </c>
      <c r="BJ64" s="4">
        <f t="shared" si="553"/>
        <v>0.36012733327379209</v>
      </c>
      <c r="BK64" s="4">
        <f t="shared" si="553"/>
        <v>0.16490477462512174</v>
      </c>
      <c r="BL64" s="4">
        <f t="shared" si="553"/>
        <v>0.32603209142230866</v>
      </c>
      <c r="BM64" s="4">
        <f t="shared" si="553"/>
        <v>0.35681789292372312</v>
      </c>
      <c r="BN64" s="4">
        <f t="shared" si="553"/>
        <v>0.38494511130724807</v>
      </c>
      <c r="BO64" s="4">
        <f t="shared" si="553"/>
        <v>0.41549737966488443</v>
      </c>
      <c r="BP64" s="4">
        <f t="shared" si="553"/>
        <v>0.43470414973719723</v>
      </c>
      <c r="BQ64" s="4">
        <f t="shared" si="553"/>
        <v>0.44916463517601868</v>
      </c>
      <c r="BR64" s="4">
        <f t="shared" si="553"/>
        <v>0.45377382970077035</v>
      </c>
      <c r="BS64" s="4">
        <f t="shared" si="553"/>
        <v>0.45848766674184988</v>
      </c>
      <c r="BT64" s="4">
        <f t="shared" si="553"/>
        <v>0.46329291801253941</v>
      </c>
      <c r="BU64" s="4">
        <f t="shared" si="553"/>
        <v>0.46814981415639317</v>
      </c>
      <c r="BV64" s="4">
        <f t="shared" si="553"/>
        <v>0.47317384106728544</v>
      </c>
    </row>
    <row r="65" spans="2:75" ht="20.05" customHeight="1" x14ac:dyDescent="0.4">
      <c r="B65" s="24" t="s">
        <v>74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50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1" t="s">
        <v>7</v>
      </c>
      <c r="BH65" s="180" t="s">
        <v>74</v>
      </c>
    </row>
    <row r="66" spans="2:75" ht="20.05" customHeight="1" x14ac:dyDescent="0.4">
      <c r="B66" s="70" t="s">
        <v>62</v>
      </c>
      <c r="C66" s="124">
        <f t="shared" ref="C66:AH66" si="554">D7/C16</f>
        <v>3.2049185523230017</v>
      </c>
      <c r="D66" s="124">
        <f t="shared" si="554"/>
        <v>3.1013426767946934</v>
      </c>
      <c r="E66" s="124">
        <f t="shared" si="554"/>
        <v>4.1302358827734098</v>
      </c>
      <c r="F66" s="124">
        <f t="shared" si="554"/>
        <v>2.5456183868842293</v>
      </c>
      <c r="G66" s="124">
        <f t="shared" si="554"/>
        <v>2.8900921576361744</v>
      </c>
      <c r="H66" s="124">
        <f t="shared" si="554"/>
        <v>2.9194603057653343</v>
      </c>
      <c r="I66" s="124">
        <f t="shared" si="554"/>
        <v>4.0943616798057612</v>
      </c>
      <c r="J66" s="124">
        <f t="shared" si="554"/>
        <v>2.7932627792764753</v>
      </c>
      <c r="K66" s="124">
        <f t="shared" si="554"/>
        <v>3.6062199768096739</v>
      </c>
      <c r="L66" s="124">
        <f t="shared" si="554"/>
        <v>1.0884786760025462</v>
      </c>
      <c r="M66" s="195">
        <f t="shared" si="554"/>
        <v>3.4704044397593519</v>
      </c>
      <c r="N66" s="124">
        <f t="shared" si="554"/>
        <v>2.4178919084876123</v>
      </c>
      <c r="O66" s="124">
        <f t="shared" si="554"/>
        <v>3.3082307609468953</v>
      </c>
      <c r="P66" s="124">
        <f t="shared" si="554"/>
        <v>3.1442180968879887</v>
      </c>
      <c r="Q66" s="124">
        <f t="shared" si="554"/>
        <v>3.4153931368722068</v>
      </c>
      <c r="R66" s="124">
        <f t="shared" si="554"/>
        <v>2.6146758109567987</v>
      </c>
      <c r="S66" s="124">
        <f t="shared" si="554"/>
        <v>3.4679243582490744</v>
      </c>
      <c r="T66" s="124">
        <f t="shared" si="554"/>
        <v>3.2790655222670386</v>
      </c>
      <c r="U66" s="124">
        <f t="shared" si="554"/>
        <v>3.491041155222895</v>
      </c>
      <c r="V66" s="124">
        <f t="shared" si="554"/>
        <v>2.8261651579401299</v>
      </c>
      <c r="W66" s="124">
        <f t="shared" si="554"/>
        <v>3.6131950918418618</v>
      </c>
      <c r="X66" s="124">
        <f t="shared" si="554"/>
        <v>3.4131094072808494</v>
      </c>
      <c r="Y66" s="124">
        <f t="shared" si="554"/>
        <v>3.5902734317033373</v>
      </c>
      <c r="Z66" s="124">
        <f t="shared" si="554"/>
        <v>3.0366579234823621</v>
      </c>
      <c r="AA66" s="124">
        <f t="shared" si="554"/>
        <v>3.8208957534043022</v>
      </c>
      <c r="AB66" s="124">
        <f t="shared" si="554"/>
        <v>3.5954537886981717</v>
      </c>
      <c r="AC66" s="124">
        <f t="shared" si="554"/>
        <v>3.7420327454510343</v>
      </c>
      <c r="AD66" s="124">
        <f t="shared" si="554"/>
        <v>3.2556687085032849</v>
      </c>
      <c r="AE66" s="124">
        <f t="shared" si="554"/>
        <v>3.8974422699874398</v>
      </c>
      <c r="AF66" s="124">
        <f t="shared" si="554"/>
        <v>3.6772077382707207</v>
      </c>
      <c r="AG66" s="124">
        <f t="shared" si="554"/>
        <v>3.8088251700928302</v>
      </c>
      <c r="AH66" s="124">
        <f t="shared" si="554"/>
        <v>3.3697445166848108</v>
      </c>
      <c r="AI66" s="124">
        <f t="shared" ref="AI66:BE66" si="555">AJ7/AI16</f>
        <v>3.929076994964618</v>
      </c>
      <c r="AJ66" s="124">
        <f t="shared" si="555"/>
        <v>3.7138470034069546</v>
      </c>
      <c r="AK66" s="124">
        <f t="shared" si="555"/>
        <v>3.8331673822751742</v>
      </c>
      <c r="AL66" s="124">
        <f t="shared" si="555"/>
        <v>3.4193618288979257</v>
      </c>
      <c r="AM66" s="124">
        <f t="shared" si="555"/>
        <v>3.9719931928999808</v>
      </c>
      <c r="AN66" s="124">
        <f t="shared" si="555"/>
        <v>3.7590148285987075</v>
      </c>
      <c r="AO66" s="124">
        <f t="shared" si="555"/>
        <v>3.8695354097365717</v>
      </c>
      <c r="AP66" s="124">
        <f t="shared" si="555"/>
        <v>3.4629169510597149</v>
      </c>
      <c r="AQ66" s="124">
        <f t="shared" si="555"/>
        <v>4.0240431558313619</v>
      </c>
      <c r="AR66" s="124">
        <f t="shared" si="555"/>
        <v>3.810800930051276</v>
      </c>
      <c r="AS66" s="124">
        <f t="shared" si="555"/>
        <v>3.9151148779839984</v>
      </c>
      <c r="AT66" s="124">
        <f t="shared" si="555"/>
        <v>3.5083658512221785</v>
      </c>
      <c r="AU66" s="124">
        <f t="shared" si="555"/>
        <v>4.0851790041962639</v>
      </c>
      <c r="AV66" s="124">
        <f t="shared" si="555"/>
        <v>3.8691108104104122</v>
      </c>
      <c r="AW66" s="124">
        <f t="shared" si="555"/>
        <v>3.9690467243004623</v>
      </c>
      <c r="AX66" s="124">
        <f t="shared" si="555"/>
        <v>3.5595628836603139</v>
      </c>
      <c r="AY66" s="124">
        <f t="shared" si="555"/>
        <v>4.152658693168557</v>
      </c>
      <c r="AZ66" s="124">
        <f t="shared" si="555"/>
        <v>3.932002240865605</v>
      </c>
      <c r="BA66" s="124">
        <f t="shared" si="555"/>
        <v>4.0289496974454151</v>
      </c>
      <c r="BB66" s="124">
        <f t="shared" si="555"/>
        <v>3.512985707942462</v>
      </c>
      <c r="BC66" s="124">
        <f t="shared" si="555"/>
        <v>4.2406134794613246</v>
      </c>
      <c r="BD66" s="124">
        <f t="shared" si="555"/>
        <v>4.0058132339889134</v>
      </c>
      <c r="BE66" s="124">
        <f t="shared" si="555"/>
        <v>4.1026138517375896</v>
      </c>
      <c r="BF66" s="106"/>
      <c r="BG66" s="1" t="s">
        <v>7</v>
      </c>
      <c r="BH66" s="70" t="s">
        <v>132</v>
      </c>
      <c r="BI66" s="124">
        <f>BI7/BI16</f>
        <v>2.9096077876367574</v>
      </c>
      <c r="BJ66" s="124">
        <f>BJ7/BJ16</f>
        <v>2.9082249383485492</v>
      </c>
      <c r="BK66" s="124">
        <f>BK7/BK16</f>
        <v>1.9252564255108613</v>
      </c>
      <c r="BL66" s="124">
        <f t="shared" ref="BL66:BV66" si="556">BL7/BL16</f>
        <v>2.8219402028003722</v>
      </c>
      <c r="BM66" s="124">
        <f t="shared" si="556"/>
        <v>3.000502516194834</v>
      </c>
      <c r="BN66" s="124">
        <f t="shared" si="556"/>
        <v>3.1769320985966818</v>
      </c>
      <c r="BO66" s="124">
        <f t="shared" si="556"/>
        <v>3.3906066876476633</v>
      </c>
      <c r="BP66" s="124">
        <f t="shared" si="556"/>
        <v>3.5063896297738801</v>
      </c>
      <c r="BQ66" s="124">
        <f t="shared" si="556"/>
        <v>3.5666916797415267</v>
      </c>
      <c r="BR66" s="124">
        <f t="shared" si="556"/>
        <v>3.6297573322616916</v>
      </c>
      <c r="BS66" s="124">
        <f t="shared" si="556"/>
        <v>3.6955698352844548</v>
      </c>
      <c r="BT66" s="124">
        <f t="shared" si="556"/>
        <v>3.7642448116173863</v>
      </c>
      <c r="BU66" s="124">
        <f t="shared" si="556"/>
        <v>3.8357738529079461</v>
      </c>
      <c r="BV66" s="124">
        <f t="shared" si="556"/>
        <v>3.9109261790497603</v>
      </c>
    </row>
    <row r="67" spans="2:75" ht="20.05" customHeight="1" x14ac:dyDescent="0.4">
      <c r="B67" s="126" t="s">
        <v>118</v>
      </c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19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  <c r="AA67" s="130"/>
      <c r="AB67" s="130"/>
      <c r="AC67" s="130"/>
      <c r="AD67" s="130"/>
      <c r="AE67" s="130"/>
      <c r="AF67" s="130"/>
      <c r="AG67" s="130"/>
      <c r="AH67" s="130"/>
      <c r="AI67" s="130"/>
      <c r="AJ67" s="130"/>
      <c r="AK67" s="130"/>
      <c r="AL67" s="130"/>
      <c r="AM67" s="130"/>
      <c r="AN67" s="130"/>
      <c r="AO67" s="130"/>
      <c r="AP67" s="130"/>
      <c r="AQ67" s="130"/>
      <c r="AR67" s="130"/>
      <c r="AS67" s="130"/>
      <c r="AT67" s="130"/>
      <c r="AU67" s="130"/>
      <c r="AV67" s="130"/>
      <c r="AW67" s="130"/>
      <c r="AX67" s="130"/>
      <c r="AY67" s="130"/>
      <c r="AZ67" s="130"/>
      <c r="BA67" s="130"/>
      <c r="BB67" s="130"/>
      <c r="BC67" s="130"/>
      <c r="BD67" s="130"/>
      <c r="BE67" s="130"/>
      <c r="BF67" s="130"/>
      <c r="BG67" s="1" t="s">
        <v>7</v>
      </c>
      <c r="BH67" s="126" t="s">
        <v>118</v>
      </c>
      <c r="BI67" s="130"/>
      <c r="BJ67" s="130"/>
      <c r="BK67" s="130"/>
      <c r="BL67" s="130"/>
      <c r="BM67" s="130"/>
      <c r="BN67" s="130"/>
      <c r="BO67" s="130"/>
      <c r="BP67" s="130"/>
      <c r="BQ67" s="130"/>
      <c r="BR67" s="130"/>
      <c r="BS67" s="130"/>
      <c r="BT67" s="130"/>
      <c r="BU67" s="130"/>
      <c r="BV67" s="130"/>
    </row>
    <row r="68" spans="2:75" ht="20.05" customHeight="1" x14ac:dyDescent="0.4">
      <c r="B68" s="33" t="s">
        <v>5</v>
      </c>
      <c r="C68" s="42">
        <f>C20</f>
        <v>-63000</v>
      </c>
      <c r="D68" s="42">
        <f t="shared" ref="D68:BF68" si="557">D20</f>
        <v>-38388</v>
      </c>
      <c r="E68" s="42">
        <f t="shared" si="557"/>
        <v>-38057</v>
      </c>
      <c r="F68" s="42">
        <f t="shared" si="557"/>
        <v>1511</v>
      </c>
      <c r="G68" s="42">
        <f t="shared" si="557"/>
        <v>-54982</v>
      </c>
      <c r="H68" s="42">
        <f t="shared" si="557"/>
        <v>-41368</v>
      </c>
      <c r="I68" s="42">
        <f t="shared" si="557"/>
        <v>-22431</v>
      </c>
      <c r="J68" s="42">
        <f t="shared" si="557"/>
        <v>44060</v>
      </c>
      <c r="K68" s="42">
        <f t="shared" si="557"/>
        <v>-44826</v>
      </c>
      <c r="L68" s="42">
        <f t="shared" si="557"/>
        <v>-1167143</v>
      </c>
      <c r="M68" s="54">
        <f t="shared" si="557"/>
        <v>-103944.93255000001</v>
      </c>
      <c r="N68" s="29">
        <f t="shared" si="557"/>
        <v>-8520.3017999999938</v>
      </c>
      <c r="O68" s="29">
        <f t="shared" si="557"/>
        <v>-102054.56372000001</v>
      </c>
      <c r="P68" s="29">
        <f t="shared" si="557"/>
        <v>-110004.80746500002</v>
      </c>
      <c r="Q68" s="29">
        <f t="shared" si="557"/>
        <v>-119673.19107</v>
      </c>
      <c r="R68" s="29">
        <f t="shared" si="557"/>
        <v>18548.647200000029</v>
      </c>
      <c r="S68" s="29">
        <f t="shared" si="557"/>
        <v>-103481.7311</v>
      </c>
      <c r="T68" s="29">
        <f t="shared" si="557"/>
        <v>-108374.00722499995</v>
      </c>
      <c r="U68" s="29">
        <f t="shared" si="557"/>
        <v>-116443.77356249999</v>
      </c>
      <c r="V68" s="29">
        <f t="shared" si="557"/>
        <v>81726.670869999958</v>
      </c>
      <c r="W68" s="29">
        <f t="shared" si="557"/>
        <v>-97668.959254999936</v>
      </c>
      <c r="X68" s="29">
        <f t="shared" si="557"/>
        <v>-97631.25344999996</v>
      </c>
      <c r="Y68" s="29">
        <f t="shared" si="557"/>
        <v>-103248.81719999992</v>
      </c>
      <c r="Z68" s="29">
        <f t="shared" si="557"/>
        <v>173278.9039375</v>
      </c>
      <c r="AA68" s="29">
        <f t="shared" si="557"/>
        <v>-26704.657979999902</v>
      </c>
      <c r="AB68" s="29">
        <f t="shared" si="557"/>
        <v>-19754.206159999871</v>
      </c>
      <c r="AC68" s="29">
        <f t="shared" si="557"/>
        <v>-22028.862894999867</v>
      </c>
      <c r="AD68" s="29">
        <f t="shared" si="557"/>
        <v>344537.61120000004</v>
      </c>
      <c r="AE68" s="29">
        <f t="shared" si="557"/>
        <v>7099.8806300002034</v>
      </c>
      <c r="AF68" s="29">
        <f t="shared" si="557"/>
        <v>23554.772145000316</v>
      </c>
      <c r="AG68" s="29">
        <f t="shared" si="557"/>
        <v>25997.729490000202</v>
      </c>
      <c r="AH68" s="29">
        <f t="shared" si="557"/>
        <v>492377.93698250043</v>
      </c>
      <c r="AI68" s="29">
        <f t="shared" si="557"/>
        <v>52717.006736250245</v>
      </c>
      <c r="AJ68" s="29">
        <f t="shared" si="557"/>
        <v>79940.547285000415</v>
      </c>
      <c r="AK68" s="29">
        <f t="shared" si="557"/>
        <v>87625.444612500316</v>
      </c>
      <c r="AL68" s="29">
        <f t="shared" si="557"/>
        <v>648183.03110500029</v>
      </c>
      <c r="AM68" s="29">
        <f t="shared" si="557"/>
        <v>87066.310240000079</v>
      </c>
      <c r="AN68" s="29">
        <f t="shared" si="557"/>
        <v>122868.23276250009</v>
      </c>
      <c r="AO68" s="29">
        <f t="shared" si="557"/>
        <v>134007.38779500016</v>
      </c>
      <c r="AP68" s="29">
        <f t="shared" si="557"/>
        <v>799872.91825500014</v>
      </c>
      <c r="AQ68" s="29">
        <f t="shared" si="557"/>
        <v>129768.97679062537</v>
      </c>
      <c r="AR68" s="29">
        <f t="shared" si="557"/>
        <v>175220.31861187509</v>
      </c>
      <c r="AS68" s="29">
        <f t="shared" si="557"/>
        <v>190398.13113187536</v>
      </c>
      <c r="AT68" s="29">
        <f t="shared" si="557"/>
        <v>964185.23423312535</v>
      </c>
      <c r="AU68" s="29">
        <f t="shared" si="557"/>
        <v>180686.58615625012</v>
      </c>
      <c r="AV68" s="29">
        <f t="shared" si="557"/>
        <v>236922.01034375044</v>
      </c>
      <c r="AW68" s="29">
        <f t="shared" si="557"/>
        <v>256798.03805625014</v>
      </c>
      <c r="AX68" s="29">
        <f t="shared" si="557"/>
        <v>1140653.7400562505</v>
      </c>
      <c r="AY68" s="29">
        <f t="shared" si="557"/>
        <v>239931.09168437531</v>
      </c>
      <c r="AZ68" s="29">
        <f t="shared" si="557"/>
        <v>308128.60350562504</v>
      </c>
      <c r="BA68" s="29">
        <f t="shared" si="557"/>
        <v>333346.23867562553</v>
      </c>
      <c r="BB68" s="29">
        <f t="shared" si="557"/>
        <v>1329254.3500818757</v>
      </c>
      <c r="BC68" s="29">
        <f t="shared" si="557"/>
        <v>298778.06577750051</v>
      </c>
      <c r="BD68" s="29">
        <f t="shared" si="557"/>
        <v>379193.72211000061</v>
      </c>
      <c r="BE68" s="29">
        <f t="shared" si="557"/>
        <v>410329.45437000046</v>
      </c>
      <c r="BF68" s="29">
        <f t="shared" si="557"/>
        <v>1497428.8688425005</v>
      </c>
      <c r="BG68" s="1" t="s">
        <v>7</v>
      </c>
      <c r="BH68" s="33" t="s">
        <v>5</v>
      </c>
      <c r="BI68" s="185">
        <f t="shared" ref="BI68:BV75" si="558">SUMIF($C$4:$BF$4,BI$5,$C68:$BF68)</f>
        <v>-137934</v>
      </c>
      <c r="BJ68" s="185">
        <f t="shared" si="558"/>
        <v>-74721</v>
      </c>
      <c r="BK68" s="185">
        <f t="shared" si="558"/>
        <v>-1324434.23435</v>
      </c>
      <c r="BL68" s="185">
        <f t="shared" si="558"/>
        <v>-313183.91505499999</v>
      </c>
      <c r="BM68" s="185">
        <f t="shared" si="558"/>
        <v>-246572.84101749997</v>
      </c>
      <c r="BN68" s="185">
        <f t="shared" si="558"/>
        <v>-125270.12596749983</v>
      </c>
      <c r="BO68" s="185">
        <f t="shared" si="558"/>
        <v>276049.8841650004</v>
      </c>
      <c r="BP68" s="185">
        <f t="shared" si="558"/>
        <v>549030.3192475012</v>
      </c>
      <c r="BQ68" s="185">
        <f t="shared" si="558"/>
        <v>868466.02973875124</v>
      </c>
      <c r="BR68" s="185">
        <f t="shared" si="558"/>
        <v>1143814.8490525004</v>
      </c>
      <c r="BS68" s="185">
        <f t="shared" si="558"/>
        <v>1459572.6607675012</v>
      </c>
      <c r="BT68" s="185">
        <f t="shared" si="558"/>
        <v>1815060.3746125011</v>
      </c>
      <c r="BU68" s="185">
        <f t="shared" si="558"/>
        <v>2210660.2839475013</v>
      </c>
      <c r="BV68" s="185">
        <f t="shared" si="558"/>
        <v>2585730.1111000022</v>
      </c>
    </row>
    <row r="69" spans="2:75" ht="20.05" customHeight="1" x14ac:dyDescent="0.4">
      <c r="B69" s="33" t="s">
        <v>120</v>
      </c>
      <c r="C69" s="42">
        <f>C68-C33</f>
        <v>-63053</v>
      </c>
      <c r="D69" s="42">
        <f t="shared" ref="D69:L69" si="559">D68-D33</f>
        <v>-38466</v>
      </c>
      <c r="E69" s="42">
        <f t="shared" si="559"/>
        <v>-38077</v>
      </c>
      <c r="F69" s="42">
        <f t="shared" si="559"/>
        <v>1351</v>
      </c>
      <c r="G69" s="42">
        <f t="shared" si="559"/>
        <v>-55105</v>
      </c>
      <c r="H69" s="42">
        <f t="shared" si="559"/>
        <v>-41380</v>
      </c>
      <c r="I69" s="42">
        <f t="shared" si="559"/>
        <v>-22503</v>
      </c>
      <c r="J69" s="42">
        <f t="shared" si="559"/>
        <v>43857</v>
      </c>
      <c r="K69" s="42">
        <f t="shared" si="559"/>
        <v>-44979</v>
      </c>
      <c r="L69" s="42">
        <f t="shared" si="559"/>
        <v>-1167180</v>
      </c>
      <c r="M69" s="54">
        <f>M68*IF(M68&lt;0,1,1-M70)</f>
        <v>-103944.93255000001</v>
      </c>
      <c r="N69" s="21">
        <f t="shared" ref="N69:R69" si="560">N68*IF(N68&lt;0,1,1-N70)</f>
        <v>-8520.3017999999938</v>
      </c>
      <c r="O69" s="21">
        <f t="shared" si="560"/>
        <v>-102054.56372000001</v>
      </c>
      <c r="P69" s="21">
        <f t="shared" si="560"/>
        <v>-110004.80746500002</v>
      </c>
      <c r="Q69" s="21">
        <f t="shared" si="560"/>
        <v>-119673.19107</v>
      </c>
      <c r="R69" s="21">
        <f t="shared" si="560"/>
        <v>13911.485400000021</v>
      </c>
      <c r="S69" s="21">
        <f t="shared" ref="S69" si="561">S68*IF(S68&lt;0,1,1-S70)</f>
        <v>-103481.7311</v>
      </c>
      <c r="T69" s="21">
        <f t="shared" ref="T69" si="562">T68*IF(T68&lt;0,1,1-T70)</f>
        <v>-108374.00722499995</v>
      </c>
      <c r="U69" s="21">
        <f t="shared" ref="U69" si="563">U68*IF(U68&lt;0,1,1-U70)</f>
        <v>-116443.77356249999</v>
      </c>
      <c r="V69" s="21">
        <f t="shared" ref="V69" si="564">V68*IF(V68&lt;0,1,1-V70)</f>
        <v>61295.003152499965</v>
      </c>
      <c r="W69" s="21">
        <f t="shared" ref="W69" si="565">W68*IF(W68&lt;0,1,1-W70)</f>
        <v>-97668.959254999936</v>
      </c>
      <c r="X69" s="21">
        <f t="shared" ref="X69" si="566">X68*IF(X68&lt;0,1,1-X70)</f>
        <v>-97631.25344999996</v>
      </c>
      <c r="Y69" s="21">
        <f t="shared" ref="Y69" si="567">Y68*IF(Y68&lt;0,1,1-Y70)</f>
        <v>-103248.81719999992</v>
      </c>
      <c r="Z69" s="21">
        <f t="shared" ref="Z69" si="568">Z68*IF(Z68&lt;0,1,1-Z70)</f>
        <v>129959.17795312501</v>
      </c>
      <c r="AA69" s="21">
        <f t="shared" ref="AA69" si="569">AA68*IF(AA68&lt;0,1,1-AA70)</f>
        <v>-26704.657979999902</v>
      </c>
      <c r="AB69" s="21">
        <f t="shared" ref="AB69" si="570">AB68*IF(AB68&lt;0,1,1-AB70)</f>
        <v>-19754.206159999871</v>
      </c>
      <c r="AC69" s="21">
        <f t="shared" ref="AC69" si="571">AC68*IF(AC68&lt;0,1,1-AC70)</f>
        <v>-22028.862894999867</v>
      </c>
      <c r="AD69" s="21">
        <f t="shared" ref="AD69" si="572">AD68*IF(AD68&lt;0,1,1-AD70)</f>
        <v>258403.20840000003</v>
      </c>
      <c r="AE69" s="21">
        <f t="shared" ref="AE69" si="573">AE68*IF(AE68&lt;0,1,1-AE70)</f>
        <v>5324.9104725001525</v>
      </c>
      <c r="AF69" s="21">
        <f t="shared" ref="AF69" si="574">AF68*IF(AF68&lt;0,1,1-AF70)</f>
        <v>17666.079108750237</v>
      </c>
      <c r="AG69" s="21">
        <f t="shared" ref="AG69" si="575">AG68*IF(AG68&lt;0,1,1-AG70)</f>
        <v>19498.297117500151</v>
      </c>
      <c r="AH69" s="21">
        <f t="shared" ref="AH69" si="576">AH68*IF(AH68&lt;0,1,1-AH70)</f>
        <v>369283.45273687533</v>
      </c>
      <c r="AI69" s="21">
        <f t="shared" ref="AI69" si="577">AI68*IF(AI68&lt;0,1,1-AI70)</f>
        <v>39537.755052187684</v>
      </c>
      <c r="AJ69" s="21">
        <f t="shared" ref="AJ69" si="578">AJ68*IF(AJ68&lt;0,1,1-AJ70)</f>
        <v>59955.410463750311</v>
      </c>
      <c r="AK69" s="21">
        <f t="shared" ref="AK69" si="579">AK68*IF(AK68&lt;0,1,1-AK70)</f>
        <v>65719.083459375237</v>
      </c>
      <c r="AL69" s="21">
        <f t="shared" ref="AL69" si="580">AL68*IF(AL68&lt;0,1,1-AL70)</f>
        <v>486137.27332875022</v>
      </c>
      <c r="AM69" s="21">
        <f t="shared" ref="AM69" si="581">AM68*IF(AM68&lt;0,1,1-AM70)</f>
        <v>65299.732680000059</v>
      </c>
      <c r="AN69" s="21">
        <f t="shared" ref="AN69" si="582">AN68*IF(AN68&lt;0,1,1-AN70)</f>
        <v>92151.174571875075</v>
      </c>
      <c r="AO69" s="21">
        <f t="shared" ref="AO69" si="583">AO68*IF(AO68&lt;0,1,1-AO70)</f>
        <v>100505.54084625012</v>
      </c>
      <c r="AP69" s="21">
        <f t="shared" ref="AP69" si="584">AP68*IF(AP68&lt;0,1,1-AP70)</f>
        <v>599904.68869125005</v>
      </c>
      <c r="AQ69" s="21">
        <f t="shared" ref="AQ69" si="585">AQ68*IF(AQ68&lt;0,1,1-AQ70)</f>
        <v>97326.732592969027</v>
      </c>
      <c r="AR69" s="21">
        <f t="shared" ref="AR69" si="586">AR68*IF(AR68&lt;0,1,1-AR70)</f>
        <v>131415.23895890632</v>
      </c>
      <c r="AS69" s="21">
        <f t="shared" ref="AS69" si="587">AS68*IF(AS68&lt;0,1,1-AS70)</f>
        <v>142798.59834890653</v>
      </c>
      <c r="AT69" s="21">
        <f t="shared" ref="AT69" si="588">AT68*IF(AT68&lt;0,1,1-AT70)</f>
        <v>723138.92567484407</v>
      </c>
      <c r="AU69" s="21">
        <f t="shared" ref="AU69" si="589">AU68*IF(AU68&lt;0,1,1-AU70)</f>
        <v>135514.9396171876</v>
      </c>
      <c r="AV69" s="21">
        <f t="shared" ref="AV69" si="590">AV68*IF(AV68&lt;0,1,1-AV70)</f>
        <v>177691.50775781283</v>
      </c>
      <c r="AW69" s="21">
        <f t="shared" ref="AW69" si="591">AW68*IF(AW68&lt;0,1,1-AW70)</f>
        <v>192598.52854218759</v>
      </c>
      <c r="AX69" s="21">
        <f t="shared" ref="AX69" si="592">AX68*IF(AX68&lt;0,1,1-AX70)</f>
        <v>855490.30504218792</v>
      </c>
      <c r="AY69" s="21">
        <f t="shared" ref="AY69" si="593">AY68*IF(AY68&lt;0,1,1-AY70)</f>
        <v>179948.31876328148</v>
      </c>
      <c r="AZ69" s="21">
        <f t="shared" ref="AZ69" si="594">AZ68*IF(AZ68&lt;0,1,1-AZ70)</f>
        <v>231096.45262921878</v>
      </c>
      <c r="BA69" s="21">
        <f t="shared" ref="BA69" si="595">BA68*IF(BA68&lt;0,1,1-BA70)</f>
        <v>250009.67900671915</v>
      </c>
      <c r="BB69" s="21">
        <f t="shared" ref="BB69" si="596">BB68*IF(BB68&lt;0,1,1-BB70)</f>
        <v>996940.76256140671</v>
      </c>
      <c r="BC69" s="21">
        <f t="shared" ref="BC69" si="597">BC68*IF(BC68&lt;0,1,1-BC70)</f>
        <v>224083.54933312538</v>
      </c>
      <c r="BD69" s="21">
        <f t="shared" ref="BD69" si="598">BD68*IF(BD68&lt;0,1,1-BD70)</f>
        <v>284395.29158250045</v>
      </c>
      <c r="BE69" s="21">
        <f t="shared" ref="BE69" si="599">BE68*IF(BE68&lt;0,1,1-BE70)</f>
        <v>307747.09077750036</v>
      </c>
      <c r="BF69" s="21">
        <f t="shared" ref="BF69" si="600">BF68*IF(BF68&lt;0,1,1-BF70)</f>
        <v>1123071.6516318754</v>
      </c>
      <c r="BG69" s="1" t="s">
        <v>7</v>
      </c>
      <c r="BH69" s="33" t="s">
        <v>120</v>
      </c>
      <c r="BI69" s="185">
        <f t="shared" si="558"/>
        <v>-138245</v>
      </c>
      <c r="BJ69" s="185">
        <f t="shared" si="558"/>
        <v>-75131</v>
      </c>
      <c r="BK69" s="185">
        <f t="shared" si="558"/>
        <v>-1324624.23435</v>
      </c>
      <c r="BL69" s="185">
        <f t="shared" si="558"/>
        <v>-317821.07685499999</v>
      </c>
      <c r="BM69" s="185">
        <f t="shared" si="558"/>
        <v>-267004.50873499998</v>
      </c>
      <c r="BN69" s="185">
        <f t="shared" si="558"/>
        <v>-168589.85195187482</v>
      </c>
      <c r="BO69" s="185">
        <f t="shared" si="558"/>
        <v>189915.48136500039</v>
      </c>
      <c r="BP69" s="185">
        <f t="shared" si="558"/>
        <v>411772.73943562584</v>
      </c>
      <c r="BQ69" s="185">
        <f t="shared" si="558"/>
        <v>651349.52230406343</v>
      </c>
      <c r="BR69" s="185">
        <f t="shared" si="558"/>
        <v>857861.13678937533</v>
      </c>
      <c r="BS69" s="185">
        <f t="shared" si="558"/>
        <v>1094679.4955756259</v>
      </c>
      <c r="BT69" s="185">
        <f t="shared" si="558"/>
        <v>1361295.2809593759</v>
      </c>
      <c r="BU69" s="185">
        <f t="shared" si="558"/>
        <v>1657995.212960626</v>
      </c>
      <c r="BV69" s="185">
        <f t="shared" si="558"/>
        <v>1939297.5833250016</v>
      </c>
    </row>
    <row r="70" spans="2:75" ht="20.05" customHeight="1" x14ac:dyDescent="0.4">
      <c r="B70" s="93" t="s">
        <v>119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82">
        <v>0.25</v>
      </c>
      <c r="N70" s="150">
        <v>0.25</v>
      </c>
      <c r="O70" s="150">
        <v>0.25</v>
      </c>
      <c r="P70" s="150">
        <v>0.25</v>
      </c>
      <c r="Q70" s="150">
        <v>0.25</v>
      </c>
      <c r="R70" s="150">
        <v>0.25</v>
      </c>
      <c r="S70" s="150">
        <v>0.25</v>
      </c>
      <c r="T70" s="150">
        <v>0.25</v>
      </c>
      <c r="U70" s="150">
        <v>0.25</v>
      </c>
      <c r="V70" s="150">
        <v>0.25</v>
      </c>
      <c r="W70" s="150">
        <v>0.25</v>
      </c>
      <c r="X70" s="150">
        <v>0.25</v>
      </c>
      <c r="Y70" s="150">
        <v>0.25</v>
      </c>
      <c r="Z70" s="150">
        <v>0.25</v>
      </c>
      <c r="AA70" s="150">
        <v>0.25</v>
      </c>
      <c r="AB70" s="150">
        <v>0.25</v>
      </c>
      <c r="AC70" s="150">
        <v>0.25</v>
      </c>
      <c r="AD70" s="150">
        <v>0.25</v>
      </c>
      <c r="AE70" s="150">
        <v>0.25</v>
      </c>
      <c r="AF70" s="150">
        <v>0.25</v>
      </c>
      <c r="AG70" s="150">
        <v>0.25</v>
      </c>
      <c r="AH70" s="150">
        <v>0.25</v>
      </c>
      <c r="AI70" s="150">
        <v>0.25</v>
      </c>
      <c r="AJ70" s="150">
        <v>0.25</v>
      </c>
      <c r="AK70" s="150">
        <v>0.25</v>
      </c>
      <c r="AL70" s="150">
        <v>0.25</v>
      </c>
      <c r="AM70" s="150">
        <v>0.25</v>
      </c>
      <c r="AN70" s="150">
        <v>0.25</v>
      </c>
      <c r="AO70" s="150">
        <v>0.25</v>
      </c>
      <c r="AP70" s="150">
        <v>0.25</v>
      </c>
      <c r="AQ70" s="150">
        <v>0.25</v>
      </c>
      <c r="AR70" s="150">
        <v>0.25</v>
      </c>
      <c r="AS70" s="150">
        <v>0.25</v>
      </c>
      <c r="AT70" s="150">
        <v>0.25</v>
      </c>
      <c r="AU70" s="150">
        <v>0.25</v>
      </c>
      <c r="AV70" s="150">
        <v>0.25</v>
      </c>
      <c r="AW70" s="150">
        <v>0.25</v>
      </c>
      <c r="AX70" s="150">
        <v>0.25</v>
      </c>
      <c r="AY70" s="150">
        <v>0.25</v>
      </c>
      <c r="AZ70" s="150">
        <v>0.25</v>
      </c>
      <c r="BA70" s="150">
        <v>0.25</v>
      </c>
      <c r="BB70" s="150">
        <v>0.25</v>
      </c>
      <c r="BC70" s="150">
        <v>0.25</v>
      </c>
      <c r="BD70" s="150">
        <v>0.25</v>
      </c>
      <c r="BE70" s="150">
        <v>0.25</v>
      </c>
      <c r="BF70" s="150">
        <v>0.25</v>
      </c>
      <c r="BG70" s="1" t="s">
        <v>7</v>
      </c>
      <c r="BH70" s="93" t="s">
        <v>119</v>
      </c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</row>
    <row r="71" spans="2:75" ht="20.05" customHeight="1" x14ac:dyDescent="0.4">
      <c r="B71" s="153" t="s">
        <v>70</v>
      </c>
      <c r="C71" s="42">
        <f>C22</f>
        <v>4159</v>
      </c>
      <c r="D71" s="42">
        <f t="shared" ref="D71:L71" si="601">D22</f>
        <v>4138</v>
      </c>
      <c r="E71" s="42">
        <f t="shared" si="601"/>
        <v>3920</v>
      </c>
      <c r="F71" s="42">
        <f t="shared" si="601"/>
        <v>3918</v>
      </c>
      <c r="G71" s="42">
        <f t="shared" si="601"/>
        <v>4787</v>
      </c>
      <c r="H71" s="42">
        <f t="shared" si="601"/>
        <v>5511</v>
      </c>
      <c r="I71" s="42">
        <f t="shared" si="601"/>
        <v>5117</v>
      </c>
      <c r="J71" s="42">
        <f t="shared" si="601"/>
        <v>5444</v>
      </c>
      <c r="K71" s="42">
        <f t="shared" si="601"/>
        <v>5696</v>
      </c>
      <c r="L71" s="42">
        <f t="shared" si="601"/>
        <v>6507</v>
      </c>
      <c r="M71" s="54">
        <f>M22</f>
        <v>8079.75</v>
      </c>
      <c r="N71" s="21">
        <f t="shared" ref="N71:O71" si="602">N22</f>
        <v>10660.5</v>
      </c>
      <c r="O71" s="21">
        <f t="shared" si="602"/>
        <v>8323</v>
      </c>
      <c r="P71" s="21">
        <f t="shared" ref="P71:U71" si="603">P22</f>
        <v>10444.125</v>
      </c>
      <c r="Q71" s="21">
        <f t="shared" si="603"/>
        <v>12261.750000000002</v>
      </c>
      <c r="R71" s="21">
        <f t="shared" si="603"/>
        <v>15493.125</v>
      </c>
      <c r="S71" s="21">
        <f t="shared" si="603"/>
        <v>12793</v>
      </c>
      <c r="T71" s="21">
        <f t="shared" si="603"/>
        <v>15710.75</v>
      </c>
      <c r="U71" s="21">
        <f t="shared" si="603"/>
        <v>18061.875</v>
      </c>
      <c r="V71" s="21">
        <f t="shared" ref="V71:AB71" si="604">V22</f>
        <v>21980.5</v>
      </c>
      <c r="W71" s="21">
        <f t="shared" si="604"/>
        <v>18398.5625</v>
      </c>
      <c r="X71" s="21">
        <f t="shared" si="604"/>
        <v>22159.6875</v>
      </c>
      <c r="Y71" s="21">
        <f t="shared" si="604"/>
        <v>25042.5</v>
      </c>
      <c r="Z71" s="21">
        <f t="shared" si="604"/>
        <v>29656.0625</v>
      </c>
      <c r="AA71" s="21">
        <f t="shared" si="604"/>
        <v>25063.5</v>
      </c>
      <c r="AB71" s="21">
        <f t="shared" si="604"/>
        <v>29702</v>
      </c>
      <c r="AC71" s="21">
        <f t="shared" ref="AC71:BF71" si="605">AC22</f>
        <v>33122.125</v>
      </c>
      <c r="AD71" s="21">
        <f t="shared" si="605"/>
        <v>38441.875</v>
      </c>
      <c r="AE71" s="21">
        <f t="shared" si="605"/>
        <v>32556.3125</v>
      </c>
      <c r="AF71" s="21">
        <f t="shared" si="605"/>
        <v>38084.9375</v>
      </c>
      <c r="AG71" s="21">
        <f t="shared" si="605"/>
        <v>42034.875</v>
      </c>
      <c r="AH71" s="21">
        <f t="shared" si="605"/>
        <v>48055.0625</v>
      </c>
      <c r="AI71" s="21">
        <f t="shared" si="605"/>
        <v>40503.5625</v>
      </c>
      <c r="AJ71" s="21">
        <f t="shared" si="605"/>
        <v>46970.25</v>
      </c>
      <c r="AK71" s="21">
        <f t="shared" si="605"/>
        <v>51485.625</v>
      </c>
      <c r="AL71" s="21">
        <f t="shared" si="605"/>
        <v>58248.25</v>
      </c>
      <c r="AM71" s="21">
        <f t="shared" si="605"/>
        <v>48821.500000000007</v>
      </c>
      <c r="AN71" s="21">
        <f t="shared" si="605"/>
        <v>56264.531249999993</v>
      </c>
      <c r="AO71" s="21">
        <f t="shared" si="605"/>
        <v>61365.4375</v>
      </c>
      <c r="AP71" s="21">
        <f t="shared" si="605"/>
        <v>68896.59375</v>
      </c>
      <c r="AQ71" s="21">
        <f t="shared" si="605"/>
        <v>57288.59375</v>
      </c>
      <c r="AR71" s="21">
        <f t="shared" si="605"/>
        <v>65734.40625</v>
      </c>
      <c r="AS71" s="21">
        <f t="shared" si="605"/>
        <v>71428.40625</v>
      </c>
      <c r="AT71" s="21">
        <f t="shared" si="605"/>
        <v>79740.21875</v>
      </c>
      <c r="AU71" s="21">
        <f t="shared" si="605"/>
        <v>65775.96875</v>
      </c>
      <c r="AV71" s="21">
        <f t="shared" si="605"/>
        <v>75275.46875</v>
      </c>
      <c r="AW71" s="21">
        <f t="shared" si="605"/>
        <v>81590.531250000015</v>
      </c>
      <c r="AX71" s="21">
        <f t="shared" si="605"/>
        <v>90719.59375</v>
      </c>
      <c r="AY71" s="21">
        <f t="shared" si="605"/>
        <v>74309.21875</v>
      </c>
      <c r="AZ71" s="21">
        <f t="shared" si="605"/>
        <v>84902.156250000015</v>
      </c>
      <c r="BA71" s="21">
        <f t="shared" si="605"/>
        <v>91850.65625</v>
      </c>
      <c r="BB71" s="21">
        <f t="shared" si="605"/>
        <v>101817.84375</v>
      </c>
      <c r="BC71" s="21">
        <f t="shared" si="605"/>
        <v>80519.28125</v>
      </c>
      <c r="BD71" s="21">
        <f t="shared" si="605"/>
        <v>92237.90625</v>
      </c>
      <c r="BE71" s="21">
        <f t="shared" si="605"/>
        <v>99811.59375</v>
      </c>
      <c r="BF71" s="21">
        <f t="shared" si="605"/>
        <v>110617.15625</v>
      </c>
      <c r="BG71" s="1" t="s">
        <v>7</v>
      </c>
      <c r="BH71" s="153" t="s">
        <v>70</v>
      </c>
      <c r="BI71" s="185">
        <f t="shared" si="558"/>
        <v>16135</v>
      </c>
      <c r="BJ71" s="185">
        <f t="shared" si="558"/>
        <v>20859</v>
      </c>
      <c r="BK71" s="185">
        <f t="shared" si="558"/>
        <v>30943.25</v>
      </c>
      <c r="BL71" s="185">
        <f t="shared" si="558"/>
        <v>46522</v>
      </c>
      <c r="BM71" s="185">
        <f t="shared" si="558"/>
        <v>68546.125</v>
      </c>
      <c r="BN71" s="185">
        <f t="shared" si="558"/>
        <v>95256.8125</v>
      </c>
      <c r="BO71" s="185">
        <f t="shared" si="558"/>
        <v>126329.5</v>
      </c>
      <c r="BP71" s="185">
        <f t="shared" si="558"/>
        <v>160731.1875</v>
      </c>
      <c r="BQ71" s="185">
        <f t="shared" si="558"/>
        <v>197207.6875</v>
      </c>
      <c r="BR71" s="185">
        <f t="shared" si="558"/>
        <v>235348.0625</v>
      </c>
      <c r="BS71" s="185">
        <f t="shared" si="558"/>
        <v>274191.625</v>
      </c>
      <c r="BT71" s="185">
        <f t="shared" si="558"/>
        <v>313361.5625</v>
      </c>
      <c r="BU71" s="185">
        <f t="shared" si="558"/>
        <v>352879.875</v>
      </c>
      <c r="BV71" s="185">
        <f t="shared" si="558"/>
        <v>383185.9375</v>
      </c>
    </row>
    <row r="72" spans="2:75" ht="20.05" customHeight="1" x14ac:dyDescent="0.4">
      <c r="B72" s="153" t="s">
        <v>19</v>
      </c>
      <c r="C72" s="42">
        <f>C25</f>
        <v>7575</v>
      </c>
      <c r="D72" s="42">
        <f t="shared" ref="D72:L72" si="606">D25</f>
        <v>7294</v>
      </c>
      <c r="E72" s="42">
        <f t="shared" si="606"/>
        <v>7273</v>
      </c>
      <c r="F72" s="42">
        <f t="shared" si="606"/>
        <v>6662</v>
      </c>
      <c r="G72" s="42">
        <f t="shared" si="606"/>
        <v>4834</v>
      </c>
      <c r="H72" s="42">
        <f t="shared" si="606"/>
        <v>3959</v>
      </c>
      <c r="I72" s="42">
        <f t="shared" si="606"/>
        <v>3888</v>
      </c>
      <c r="J72" s="42">
        <f t="shared" si="606"/>
        <v>2178</v>
      </c>
      <c r="K72" s="42">
        <f t="shared" si="606"/>
        <v>694</v>
      </c>
      <c r="L72" s="42">
        <f t="shared" si="606"/>
        <v>1134599</v>
      </c>
      <c r="M72" s="54">
        <f>M132</f>
        <v>55489.055849999997</v>
      </c>
      <c r="N72" s="21">
        <f t="shared" ref="N72:O72" si="607">N132</f>
        <v>55447.822800000002</v>
      </c>
      <c r="O72" s="21">
        <f t="shared" si="607"/>
        <v>55469.068120000004</v>
      </c>
      <c r="P72" s="21">
        <f t="shared" ref="P72:U72" si="608">P132</f>
        <v>55724.601015</v>
      </c>
      <c r="Q72" s="21">
        <f t="shared" si="608"/>
        <v>55946.423970000003</v>
      </c>
      <c r="R72" s="21">
        <f t="shared" si="608"/>
        <v>55849.339050000002</v>
      </c>
      <c r="S72" s="21">
        <f t="shared" si="608"/>
        <v>55926.568059999998</v>
      </c>
      <c r="T72" s="21">
        <f t="shared" si="608"/>
        <v>56257.050465</v>
      </c>
      <c r="U72" s="21">
        <f t="shared" si="608"/>
        <v>56527.4768625</v>
      </c>
      <c r="V72" s="21">
        <f t="shared" ref="V72:AB72" si="609">V132</f>
        <v>56353.071689999997</v>
      </c>
      <c r="W72" s="21">
        <f t="shared" si="609"/>
        <v>56504.751459999999</v>
      </c>
      <c r="X72" s="21">
        <f t="shared" si="609"/>
        <v>56915.930025000001</v>
      </c>
      <c r="Y72" s="21">
        <f t="shared" si="609"/>
        <v>57236.729399999997</v>
      </c>
      <c r="Z72" s="21">
        <f t="shared" si="609"/>
        <v>56906.708217500003</v>
      </c>
      <c r="AA72" s="21">
        <f t="shared" si="609"/>
        <v>2707.8605400000006</v>
      </c>
      <c r="AB72" s="21">
        <f t="shared" si="609"/>
        <v>3197.1232799999998</v>
      </c>
      <c r="AC72" s="21">
        <f t="shared" ref="AC72:BF72" si="610">AC132</f>
        <v>3565.265535</v>
      </c>
      <c r="AD72" s="21">
        <f t="shared" si="610"/>
        <v>3044.5965000000001</v>
      </c>
      <c r="AE72" s="21">
        <f t="shared" si="610"/>
        <v>3398.8790250000002</v>
      </c>
      <c r="AF72" s="21">
        <f t="shared" si="610"/>
        <v>3960.8334999999997</v>
      </c>
      <c r="AG72" s="21">
        <f t="shared" si="610"/>
        <v>4371.6269999999995</v>
      </c>
      <c r="AH72" s="21">
        <f t="shared" si="610"/>
        <v>3631.0405225</v>
      </c>
      <c r="AI72" s="21">
        <f t="shared" si="610"/>
        <v>4085.1893137499997</v>
      </c>
      <c r="AJ72" s="21">
        <f t="shared" si="610"/>
        <v>4718.6313149999996</v>
      </c>
      <c r="AK72" s="21">
        <f t="shared" si="610"/>
        <v>5172.2458874999993</v>
      </c>
      <c r="AL72" s="21">
        <f t="shared" si="610"/>
        <v>4290.5660950000001</v>
      </c>
      <c r="AM72" s="21">
        <f t="shared" si="610"/>
        <v>4835.2813599999999</v>
      </c>
      <c r="AN72" s="21">
        <f t="shared" si="610"/>
        <v>5549.933362499999</v>
      </c>
      <c r="AO72" s="21">
        <f t="shared" si="610"/>
        <v>6053.0867549999994</v>
      </c>
      <c r="AP72" s="21">
        <f t="shared" si="610"/>
        <v>4949.5312949999998</v>
      </c>
      <c r="AQ72" s="21">
        <f t="shared" si="610"/>
        <v>5569.5970843749992</v>
      </c>
      <c r="AR72" s="21">
        <f t="shared" si="610"/>
        <v>6364.4052131249991</v>
      </c>
      <c r="AS72" s="21">
        <f t="shared" si="610"/>
        <v>6915.6982931249995</v>
      </c>
      <c r="AT72" s="21">
        <f t="shared" si="610"/>
        <v>5583.4101168749994</v>
      </c>
      <c r="AU72" s="21">
        <f t="shared" si="610"/>
        <v>6275.027418749999</v>
      </c>
      <c r="AV72" s="21">
        <f t="shared" si="610"/>
        <v>7151.1695312499996</v>
      </c>
      <c r="AW72" s="21">
        <f t="shared" si="610"/>
        <v>7751.1004687500008</v>
      </c>
      <c r="AX72" s="21">
        <f t="shared" si="610"/>
        <v>6187.0762937499994</v>
      </c>
      <c r="AY72" s="21">
        <f t="shared" si="610"/>
        <v>6953.8566906249989</v>
      </c>
      <c r="AZ72" s="21">
        <f t="shared" si="610"/>
        <v>7911.1829193750009</v>
      </c>
      <c r="BA72" s="21">
        <f t="shared" si="610"/>
        <v>8558.6441493749971</v>
      </c>
      <c r="BB72" s="21">
        <f t="shared" si="610"/>
        <v>6758.668468124999</v>
      </c>
      <c r="BC72" s="21">
        <f t="shared" si="610"/>
        <v>7388.4492474999997</v>
      </c>
      <c r="BD72" s="21">
        <f t="shared" si="610"/>
        <v>8426.8551149999985</v>
      </c>
      <c r="BE72" s="21">
        <f t="shared" si="610"/>
        <v>9118.7872049999987</v>
      </c>
      <c r="BF72" s="21">
        <f t="shared" si="610"/>
        <v>7141.4436074999985</v>
      </c>
      <c r="BG72" s="1" t="s">
        <v>7</v>
      </c>
      <c r="BH72" s="153" t="s">
        <v>19</v>
      </c>
      <c r="BI72" s="185">
        <f t="shared" si="558"/>
        <v>28804</v>
      </c>
      <c r="BJ72" s="185">
        <f t="shared" si="558"/>
        <v>14859</v>
      </c>
      <c r="BK72" s="185">
        <f t="shared" si="558"/>
        <v>1246229.8786499999</v>
      </c>
      <c r="BL72" s="185">
        <f t="shared" si="558"/>
        <v>222989.43215500002</v>
      </c>
      <c r="BM72" s="185">
        <f t="shared" si="558"/>
        <v>225064.16707750002</v>
      </c>
      <c r="BN72" s="185">
        <f t="shared" si="558"/>
        <v>227564.11910250003</v>
      </c>
      <c r="BO72" s="185">
        <f t="shared" si="558"/>
        <v>12514.845855</v>
      </c>
      <c r="BP72" s="185">
        <f t="shared" si="558"/>
        <v>15362.380047499999</v>
      </c>
      <c r="BQ72" s="185">
        <f t="shared" si="558"/>
        <v>18266.632611249999</v>
      </c>
      <c r="BR72" s="185">
        <f t="shared" si="558"/>
        <v>21387.832772499998</v>
      </c>
      <c r="BS72" s="185">
        <f t="shared" si="558"/>
        <v>24433.110707499996</v>
      </c>
      <c r="BT72" s="185">
        <f t="shared" si="558"/>
        <v>27364.373712500001</v>
      </c>
      <c r="BU72" s="185">
        <f t="shared" si="558"/>
        <v>30182.352227499992</v>
      </c>
      <c r="BV72" s="185">
        <f t="shared" si="558"/>
        <v>32075.535174999997</v>
      </c>
    </row>
    <row r="73" spans="2:75" ht="20.05" customHeight="1" x14ac:dyDescent="0.4">
      <c r="B73" s="153" t="s">
        <v>121</v>
      </c>
      <c r="C73" s="42"/>
      <c r="D73" s="42"/>
      <c r="E73" s="42"/>
      <c r="F73" s="42"/>
      <c r="G73" s="42"/>
      <c r="H73" s="42"/>
      <c r="I73" s="42"/>
      <c r="J73" s="42"/>
      <c r="K73" s="42">
        <f>K96-J96</f>
        <v>-55005</v>
      </c>
      <c r="L73" s="42">
        <f>L96-K96</f>
        <v>30081</v>
      </c>
      <c r="M73" s="54">
        <f>(M96-L96)</f>
        <v>36414.100000000006</v>
      </c>
      <c r="N73" s="21">
        <f t="shared" ref="N73:O73" si="611">(N96-M96)</f>
        <v>83623.899999999994</v>
      </c>
      <c r="O73" s="21">
        <f t="shared" si="611"/>
        <v>-108176.1</v>
      </c>
      <c r="P73" s="21">
        <f t="shared" ref="P73:U73" si="612">(P96-O96)</f>
        <v>45657.5</v>
      </c>
      <c r="Q73" s="21">
        <f t="shared" si="612"/>
        <v>53425.100000000035</v>
      </c>
      <c r="R73" s="21">
        <f t="shared" si="612"/>
        <v>120106.69999999998</v>
      </c>
      <c r="S73" s="21">
        <f t="shared" si="612"/>
        <v>-149599.20000000001</v>
      </c>
      <c r="T73" s="21">
        <f t="shared" si="612"/>
        <v>66073.399999999965</v>
      </c>
      <c r="U73" s="21">
        <f t="shared" si="612"/>
        <v>77487.600000000093</v>
      </c>
      <c r="V73" s="21">
        <f t="shared" ref="V73:AB73" si="613">(V96-U96)</f>
        <v>173421.54999999993</v>
      </c>
      <c r="W73" s="21">
        <f t="shared" si="613"/>
        <v>-224343.8</v>
      </c>
      <c r="X73" s="21">
        <f t="shared" si="613"/>
        <v>58036</v>
      </c>
      <c r="Y73" s="21">
        <f t="shared" si="613"/>
        <v>100779.75</v>
      </c>
      <c r="Z73" s="21">
        <f t="shared" si="613"/>
        <v>230426.54999999993</v>
      </c>
      <c r="AA73" s="21">
        <f t="shared" si="613"/>
        <v>-278162.04999999993</v>
      </c>
      <c r="AB73" s="21">
        <f t="shared" si="613"/>
        <v>73954.875</v>
      </c>
      <c r="AC73" s="21">
        <f t="shared" ref="AC73:BF73" si="614">(AC96-AB96)</f>
        <v>129585.30000000005</v>
      </c>
      <c r="AD73" s="21">
        <f t="shared" si="614"/>
        <v>298345.22499999998</v>
      </c>
      <c r="AE73" s="21">
        <f t="shared" si="614"/>
        <v>-374283.15</v>
      </c>
      <c r="AF73" s="21">
        <f t="shared" si="614"/>
        <v>33531.75</v>
      </c>
      <c r="AG73" s="21">
        <f t="shared" si="614"/>
        <v>156545.40000000002</v>
      </c>
      <c r="AH73" s="21">
        <f t="shared" si="614"/>
        <v>367605.67500000016</v>
      </c>
      <c r="AI73" s="21">
        <f t="shared" si="614"/>
        <v>-418258.32500000019</v>
      </c>
      <c r="AJ73" s="21">
        <f t="shared" si="614"/>
        <v>35541.25</v>
      </c>
      <c r="AK73" s="21">
        <f t="shared" si="614"/>
        <v>187414.59999999998</v>
      </c>
      <c r="AL73" s="21">
        <f t="shared" si="614"/>
        <v>443342.67500000016</v>
      </c>
      <c r="AM73" s="21">
        <f t="shared" si="614"/>
        <v>-518909.77500000014</v>
      </c>
      <c r="AN73" s="21">
        <f t="shared" si="614"/>
        <v>37177.125</v>
      </c>
      <c r="AO73" s="21">
        <f t="shared" si="614"/>
        <v>129399.13749999995</v>
      </c>
      <c r="AP73" s="21">
        <f t="shared" si="614"/>
        <v>517548.83750000014</v>
      </c>
      <c r="AQ73" s="21">
        <f t="shared" si="614"/>
        <v>-530966.97500000009</v>
      </c>
      <c r="AR73" s="21">
        <f t="shared" si="614"/>
        <v>37879.5</v>
      </c>
      <c r="AS73" s="21">
        <f t="shared" si="614"/>
        <v>145591.07499999995</v>
      </c>
      <c r="AT73" s="21">
        <f t="shared" si="614"/>
        <v>596095.20000000019</v>
      </c>
      <c r="AU73" s="21">
        <f t="shared" si="614"/>
        <v>-624110.40000000014</v>
      </c>
      <c r="AV73" s="21">
        <f t="shared" si="614"/>
        <v>38164.25</v>
      </c>
      <c r="AW73" s="21">
        <f t="shared" si="614"/>
        <v>40648.5</v>
      </c>
      <c r="AX73" s="21">
        <f t="shared" si="614"/>
        <v>670640.625</v>
      </c>
      <c r="AY73" s="21">
        <f t="shared" si="614"/>
        <v>-592590.125</v>
      </c>
      <c r="AZ73" s="21">
        <f t="shared" si="614"/>
        <v>38506.75</v>
      </c>
      <c r="BA73" s="21">
        <f t="shared" si="614"/>
        <v>41040.5</v>
      </c>
      <c r="BB73" s="21">
        <f t="shared" si="614"/>
        <v>750152.75</v>
      </c>
      <c r="BC73" s="21">
        <f t="shared" si="614"/>
        <v>-680919.5</v>
      </c>
      <c r="BD73" s="21">
        <f t="shared" si="614"/>
        <v>29343</v>
      </c>
      <c r="BE73" s="21">
        <f t="shared" si="614"/>
        <v>31843.75</v>
      </c>
      <c r="BF73" s="21">
        <f t="shared" si="614"/>
        <v>801569.125</v>
      </c>
      <c r="BG73" s="1" t="s">
        <v>7</v>
      </c>
      <c r="BH73" s="153" t="s">
        <v>121</v>
      </c>
      <c r="BI73" s="185">
        <f t="shared" si="558"/>
        <v>0</v>
      </c>
      <c r="BJ73" s="185">
        <f t="shared" si="558"/>
        <v>0</v>
      </c>
      <c r="BK73" s="185">
        <f t="shared" si="558"/>
        <v>95114</v>
      </c>
      <c r="BL73" s="185">
        <f t="shared" si="558"/>
        <v>111013.20000000001</v>
      </c>
      <c r="BM73" s="185">
        <f t="shared" si="558"/>
        <v>167383.34999999998</v>
      </c>
      <c r="BN73" s="185">
        <f t="shared" si="558"/>
        <v>164898.49999999994</v>
      </c>
      <c r="BO73" s="185">
        <f t="shared" si="558"/>
        <v>223723.35000000009</v>
      </c>
      <c r="BP73" s="185">
        <f t="shared" si="558"/>
        <v>183399.67500000016</v>
      </c>
      <c r="BQ73" s="185">
        <f t="shared" si="558"/>
        <v>248040.19999999995</v>
      </c>
      <c r="BR73" s="185">
        <f t="shared" si="558"/>
        <v>165215.32499999995</v>
      </c>
      <c r="BS73" s="185">
        <f t="shared" si="558"/>
        <v>248598.80000000005</v>
      </c>
      <c r="BT73" s="185">
        <f t="shared" si="558"/>
        <v>125342.97499999986</v>
      </c>
      <c r="BU73" s="185">
        <f t="shared" si="558"/>
        <v>237109.875</v>
      </c>
      <c r="BV73" s="185">
        <f t="shared" si="558"/>
        <v>181836.375</v>
      </c>
    </row>
    <row r="74" spans="2:75" ht="20.05" customHeight="1" x14ac:dyDescent="0.4">
      <c r="B74" s="154" t="s">
        <v>122</v>
      </c>
      <c r="C74" s="199"/>
      <c r="D74" s="199"/>
      <c r="E74" s="199"/>
      <c r="F74" s="199"/>
      <c r="G74" s="199"/>
      <c r="H74" s="199"/>
      <c r="I74" s="199"/>
      <c r="J74" s="199"/>
      <c r="K74" s="199">
        <f>K94</f>
        <v>3706</v>
      </c>
      <c r="L74" s="199">
        <f>L94</f>
        <v>8208</v>
      </c>
      <c r="M74" s="51">
        <f>M94</f>
        <v>8079.75</v>
      </c>
      <c r="N74" s="11">
        <f t="shared" ref="N74:O74" si="615">N94</f>
        <v>8528.4</v>
      </c>
      <c r="O74" s="11">
        <f t="shared" si="615"/>
        <v>6658.4000000000005</v>
      </c>
      <c r="P74" s="11">
        <f t="shared" ref="P74:U74" si="616">P94</f>
        <v>12532.949999999999</v>
      </c>
      <c r="Q74" s="11">
        <f t="shared" si="616"/>
        <v>12261.750000000002</v>
      </c>
      <c r="R74" s="11">
        <f t="shared" si="616"/>
        <v>12394.5</v>
      </c>
      <c r="S74" s="11">
        <f t="shared" si="616"/>
        <v>10234.4</v>
      </c>
      <c r="T74" s="11">
        <f t="shared" si="616"/>
        <v>18852.899999999998</v>
      </c>
      <c r="U74" s="11">
        <f t="shared" si="616"/>
        <v>18061.875</v>
      </c>
      <c r="V74" s="11">
        <f t="shared" ref="V74:AB74" si="617">V94</f>
        <v>17584.400000000001</v>
      </c>
      <c r="W74" s="11">
        <f t="shared" si="617"/>
        <v>14718.85</v>
      </c>
      <c r="X74" s="11">
        <f t="shared" si="617"/>
        <v>26591.625</v>
      </c>
      <c r="Y74" s="11">
        <f t="shared" si="617"/>
        <v>25042.5</v>
      </c>
      <c r="Z74" s="11">
        <f t="shared" si="617"/>
        <v>23724.850000000002</v>
      </c>
      <c r="AA74" s="11">
        <f t="shared" si="617"/>
        <v>20050.8</v>
      </c>
      <c r="AB74" s="11">
        <f t="shared" si="617"/>
        <v>35642.400000000001</v>
      </c>
      <c r="AC74" s="11">
        <f t="shared" ref="AC74:BF74" si="618">AC94</f>
        <v>33122.125</v>
      </c>
      <c r="AD74" s="11">
        <f t="shared" si="618"/>
        <v>30753.5</v>
      </c>
      <c r="AE74" s="11">
        <f t="shared" si="618"/>
        <v>26045.05</v>
      </c>
      <c r="AF74" s="11">
        <f t="shared" si="618"/>
        <v>45701.924999999996</v>
      </c>
      <c r="AG74" s="11">
        <f t="shared" si="618"/>
        <v>42034.875</v>
      </c>
      <c r="AH74" s="11">
        <f t="shared" si="618"/>
        <v>38444.050000000003</v>
      </c>
      <c r="AI74" s="11">
        <f t="shared" si="618"/>
        <v>32402.850000000002</v>
      </c>
      <c r="AJ74" s="11">
        <f t="shared" si="618"/>
        <v>56364.299999999996</v>
      </c>
      <c r="AK74" s="11">
        <f t="shared" si="618"/>
        <v>51485.625</v>
      </c>
      <c r="AL74" s="11">
        <f t="shared" si="618"/>
        <v>46598.6</v>
      </c>
      <c r="AM74" s="11">
        <f t="shared" si="618"/>
        <v>39057.200000000004</v>
      </c>
      <c r="AN74" s="11">
        <f t="shared" si="618"/>
        <v>67517.437499999985</v>
      </c>
      <c r="AO74" s="11">
        <f t="shared" si="618"/>
        <v>61365.4375</v>
      </c>
      <c r="AP74" s="11">
        <f t="shared" si="618"/>
        <v>55117.275000000001</v>
      </c>
      <c r="AQ74" s="11">
        <f t="shared" si="618"/>
        <v>45830.875</v>
      </c>
      <c r="AR74" s="11">
        <f t="shared" si="618"/>
        <v>78881.287499999991</v>
      </c>
      <c r="AS74" s="11">
        <f t="shared" si="618"/>
        <v>71428.40625</v>
      </c>
      <c r="AT74" s="11">
        <f t="shared" si="618"/>
        <v>63792.175000000003</v>
      </c>
      <c r="AU74" s="11">
        <f t="shared" si="618"/>
        <v>52620.775000000001</v>
      </c>
      <c r="AV74" s="11">
        <f t="shared" si="618"/>
        <v>90330.5625</v>
      </c>
      <c r="AW74" s="11">
        <f t="shared" si="618"/>
        <v>81590.531250000015</v>
      </c>
      <c r="AX74" s="11">
        <f t="shared" si="618"/>
        <v>72575.675000000003</v>
      </c>
      <c r="AY74" s="11">
        <f t="shared" si="618"/>
        <v>59447.375</v>
      </c>
      <c r="AZ74" s="11">
        <f t="shared" si="618"/>
        <v>101882.58750000001</v>
      </c>
      <c r="BA74" s="11">
        <f t="shared" si="618"/>
        <v>91850.65625</v>
      </c>
      <c r="BB74" s="11">
        <f t="shared" si="618"/>
        <v>81454.275000000009</v>
      </c>
      <c r="BC74" s="11">
        <f t="shared" si="618"/>
        <v>64415.425000000003</v>
      </c>
      <c r="BD74" s="11">
        <f t="shared" si="618"/>
        <v>110685.4875</v>
      </c>
      <c r="BE74" s="11">
        <f t="shared" si="618"/>
        <v>99811.59375</v>
      </c>
      <c r="BF74" s="11">
        <f t="shared" si="618"/>
        <v>88493.725000000006</v>
      </c>
      <c r="BG74" s="1" t="s">
        <v>7</v>
      </c>
      <c r="BH74" s="154" t="s">
        <v>122</v>
      </c>
      <c r="BI74" s="198">
        <f t="shared" si="558"/>
        <v>0</v>
      </c>
      <c r="BJ74" s="198">
        <f t="shared" si="558"/>
        <v>0</v>
      </c>
      <c r="BK74" s="198">
        <f t="shared" si="558"/>
        <v>28522.15</v>
      </c>
      <c r="BL74" s="198">
        <f t="shared" si="558"/>
        <v>43847.6</v>
      </c>
      <c r="BM74" s="198">
        <f t="shared" si="558"/>
        <v>64733.574999999997</v>
      </c>
      <c r="BN74" s="198">
        <f t="shared" si="558"/>
        <v>90077.825000000012</v>
      </c>
      <c r="BO74" s="198">
        <f t="shared" si="558"/>
        <v>119568.825</v>
      </c>
      <c r="BP74" s="198">
        <f t="shared" si="558"/>
        <v>152225.9</v>
      </c>
      <c r="BQ74" s="198">
        <f t="shared" si="558"/>
        <v>186851.375</v>
      </c>
      <c r="BR74" s="198">
        <f t="shared" si="558"/>
        <v>223057.34999999998</v>
      </c>
      <c r="BS74" s="198">
        <f t="shared" si="558"/>
        <v>259932.74374999997</v>
      </c>
      <c r="BT74" s="198">
        <f t="shared" si="558"/>
        <v>297117.54375000001</v>
      </c>
      <c r="BU74" s="198">
        <f t="shared" si="558"/>
        <v>334634.89375000005</v>
      </c>
      <c r="BV74" s="198">
        <f t="shared" si="558"/>
        <v>363406.23124999995</v>
      </c>
    </row>
    <row r="75" spans="2:75" ht="20.05" customHeight="1" x14ac:dyDescent="0.4">
      <c r="B75" s="153" t="s">
        <v>123</v>
      </c>
      <c r="C75" s="42"/>
      <c r="D75" s="42"/>
      <c r="E75" s="42"/>
      <c r="F75" s="42"/>
      <c r="G75" s="42"/>
      <c r="H75" s="42"/>
      <c r="I75" s="42"/>
      <c r="J75" s="42"/>
      <c r="K75" s="42">
        <f>K69+K71+K72-K73-K74</f>
        <v>12710</v>
      </c>
      <c r="L75" s="42">
        <f>L69+L71+L72-L73-L74</f>
        <v>-64363</v>
      </c>
      <c r="M75" s="54">
        <f>M69+M71-M73-M74</f>
        <v>-140359.03255</v>
      </c>
      <c r="N75" s="21">
        <f t="shared" ref="N75:O75" si="619">N69+N71-N73-N74</f>
        <v>-90012.101799999975</v>
      </c>
      <c r="O75" s="21">
        <f t="shared" si="619"/>
        <v>7786.1362799999997</v>
      </c>
      <c r="P75" s="21">
        <f t="shared" ref="P75" si="620">P69+P71-P73-P74</f>
        <v>-157751.13246500003</v>
      </c>
      <c r="Q75" s="21">
        <f t="shared" ref="Q75" si="621">Q69+Q71-Q73-Q74</f>
        <v>-173098.29107000004</v>
      </c>
      <c r="R75" s="21">
        <f t="shared" ref="R75" si="622">R69+R71-R73-R74</f>
        <v>-103096.58959999996</v>
      </c>
      <c r="S75" s="21">
        <f t="shared" ref="S75" si="623">S69+S71-S73-S74</f>
        <v>48676.068900000006</v>
      </c>
      <c r="T75" s="21">
        <f t="shared" ref="T75" si="624">T69+T71-T73-T74</f>
        <v>-177589.55722499991</v>
      </c>
      <c r="U75" s="21">
        <f t="shared" ref="U75" si="625">U69+U71-U73-U74</f>
        <v>-193931.37356250008</v>
      </c>
      <c r="V75" s="21">
        <f t="shared" ref="V75" si="626">V69+V71-V73-V74</f>
        <v>-107730.44684749996</v>
      </c>
      <c r="W75" s="21">
        <f t="shared" ref="W75" si="627">W69+W71-W73-W74</f>
        <v>130354.55324500005</v>
      </c>
      <c r="X75" s="21">
        <f t="shared" ref="X75" si="628">X69+X71-X73-X74</f>
        <v>-160099.19094999996</v>
      </c>
      <c r="Y75" s="21">
        <f t="shared" ref="Y75" si="629">Y69+Y71-Y73-Y74</f>
        <v>-204028.56719999993</v>
      </c>
      <c r="Z75" s="21">
        <f t="shared" ref="Z75" si="630">Z69+Z71-Z73-Z74</f>
        <v>-94536.159546874929</v>
      </c>
      <c r="AA75" s="21">
        <f t="shared" ref="AA75" si="631">AA69+AA71-AA73-AA74</f>
        <v>256470.09202000004</v>
      </c>
      <c r="AB75" s="21">
        <f t="shared" ref="AB75" si="632">AB69+AB71-AB73-AB74</f>
        <v>-99649.481159999879</v>
      </c>
      <c r="AC75" s="21">
        <f t="shared" ref="AC75" si="633">AC69+AC71-AC73-AC74</f>
        <v>-151614.1628949999</v>
      </c>
      <c r="AD75" s="21">
        <f t="shared" ref="AD75" si="634">AD69+AD71-AD73-AD74</f>
        <v>-32253.641599999974</v>
      </c>
      <c r="AE75" s="21">
        <f t="shared" ref="AE75" si="635">AE69+AE71-AE73-AE74</f>
        <v>386119.32297250017</v>
      </c>
      <c r="AF75" s="21">
        <f t="shared" ref="AF75" si="636">AF69+AF71-AF73-AF74</f>
        <v>-23482.658391249759</v>
      </c>
      <c r="AG75" s="21">
        <f t="shared" ref="AG75" si="637">AG69+AG71-AG73-AG74</f>
        <v>-137047.10288249986</v>
      </c>
      <c r="AH75" s="21">
        <f t="shared" ref="AH75" si="638">AH69+AH71-AH73-AH74</f>
        <v>11288.790236875167</v>
      </c>
      <c r="AI75" s="21">
        <f t="shared" ref="AI75" si="639">AI69+AI71-AI73-AI74</f>
        <v>465896.79255218792</v>
      </c>
      <c r="AJ75" s="21">
        <f t="shared" ref="AJ75" si="640">AJ69+AJ71-AJ73-AJ74</f>
        <v>15020.110463750309</v>
      </c>
      <c r="AK75" s="21">
        <f t="shared" ref="AK75" si="641">AK69+AK71-AK73-AK74</f>
        <v>-121695.51654062474</v>
      </c>
      <c r="AL75" s="21">
        <f t="shared" ref="AL75" si="642">AL69+AL71-AL73-AL74</f>
        <v>54444.24832875</v>
      </c>
      <c r="AM75" s="21">
        <f t="shared" ref="AM75" si="643">AM69+AM71-AM73-AM74</f>
        <v>593973.80768000032</v>
      </c>
      <c r="AN75" s="21">
        <f t="shared" ref="AN75" si="644">AN69+AN71-AN73-AN74</f>
        <v>43721.14332187509</v>
      </c>
      <c r="AO75" s="21">
        <f t="shared" ref="AO75" si="645">AO69+AO71-AO73-AO74</f>
        <v>-28893.596653749817</v>
      </c>
      <c r="AP75" s="21">
        <f t="shared" ref="AP75" si="646">AP69+AP71-AP73-AP74</f>
        <v>96135.169941249915</v>
      </c>
      <c r="AQ75" s="21">
        <f t="shared" ref="AQ75" si="647">AQ69+AQ71-AQ73-AQ74</f>
        <v>639751.42634296906</v>
      </c>
      <c r="AR75" s="21">
        <f t="shared" ref="AR75" si="648">AR69+AR71-AR73-AR74</f>
        <v>80388.857708906333</v>
      </c>
      <c r="AS75" s="21">
        <f t="shared" ref="AS75" si="649">AS69+AS71-AS73-AS74</f>
        <v>-2792.4766510934278</v>
      </c>
      <c r="AT75" s="21">
        <f t="shared" ref="AT75" si="650">AT69+AT71-AT73-AT74</f>
        <v>142991.76942484389</v>
      </c>
      <c r="AU75" s="21">
        <f t="shared" ref="AU75" si="651">AU69+AU71-AU73-AU74</f>
        <v>772780.53336718772</v>
      </c>
      <c r="AV75" s="21">
        <f t="shared" ref="AV75" si="652">AV69+AV71-AV73-AV74</f>
        <v>124472.16400781283</v>
      </c>
      <c r="AW75" s="21">
        <f t="shared" ref="AW75" si="653">AW69+AW71-AW73-AW74</f>
        <v>151950.02854218759</v>
      </c>
      <c r="AX75" s="21">
        <f t="shared" ref="AX75" si="654">AX69+AX71-AX73-AX74</f>
        <v>202993.59879218793</v>
      </c>
      <c r="AY75" s="21">
        <f t="shared" ref="AY75" si="655">AY69+AY71-AY73-AY74</f>
        <v>787400.28751328145</v>
      </c>
      <c r="AZ75" s="21">
        <f t="shared" ref="AZ75" si="656">AZ69+AZ71-AZ73-AZ74</f>
        <v>175609.27137921879</v>
      </c>
      <c r="BA75" s="21">
        <f t="shared" ref="BA75" si="657">BA69+BA71-BA73-BA74</f>
        <v>208969.17900671915</v>
      </c>
      <c r="BB75" s="21">
        <f t="shared" ref="BB75" si="658">BB69+BB71-BB73-BB74</f>
        <v>267151.58131140668</v>
      </c>
      <c r="BC75" s="21">
        <f t="shared" ref="BC75" si="659">BC69+BC71-BC73-BC74</f>
        <v>921106.90558312531</v>
      </c>
      <c r="BD75" s="21">
        <f t="shared" ref="BD75" si="660">BD69+BD71-BD73-BD74</f>
        <v>236604.71033250046</v>
      </c>
      <c r="BE75" s="21">
        <f t="shared" ref="BE75" si="661">BE69+BE71-BE73-BE74</f>
        <v>275903.34077750036</v>
      </c>
      <c r="BF75" s="21">
        <f t="shared" ref="BF75" si="662">BF69+BF71-BF73-BF74</f>
        <v>343625.95788187545</v>
      </c>
      <c r="BG75" s="1" t="s">
        <v>7</v>
      </c>
      <c r="BH75" s="153" t="s">
        <v>123</v>
      </c>
      <c r="BI75" s="185">
        <f t="shared" si="558"/>
        <v>0</v>
      </c>
      <c r="BJ75" s="185">
        <f t="shared" si="558"/>
        <v>0</v>
      </c>
      <c r="BK75" s="185">
        <f t="shared" si="558"/>
        <v>-282024.13434999995</v>
      </c>
      <c r="BL75" s="185">
        <f t="shared" si="558"/>
        <v>-426159.87685500004</v>
      </c>
      <c r="BM75" s="185">
        <f t="shared" si="558"/>
        <v>-430575.30873499997</v>
      </c>
      <c r="BN75" s="185">
        <f t="shared" si="558"/>
        <v>-328309.36445187475</v>
      </c>
      <c r="BO75" s="185">
        <f t="shared" si="558"/>
        <v>-27047.193634999712</v>
      </c>
      <c r="BP75" s="185">
        <f t="shared" si="558"/>
        <v>236878.35193562572</v>
      </c>
      <c r="BQ75" s="185">
        <f t="shared" si="558"/>
        <v>413665.63480406353</v>
      </c>
      <c r="BR75" s="185">
        <f t="shared" si="558"/>
        <v>704936.52428937552</v>
      </c>
      <c r="BS75" s="185">
        <f t="shared" si="558"/>
        <v>860339.57682562573</v>
      </c>
      <c r="BT75" s="185">
        <f t="shared" si="558"/>
        <v>1252196.3247093761</v>
      </c>
      <c r="BU75" s="185">
        <f t="shared" si="558"/>
        <v>1439130.3192106262</v>
      </c>
      <c r="BV75" s="185">
        <f t="shared" si="558"/>
        <v>1777240.9145750017</v>
      </c>
    </row>
    <row r="76" spans="2:75" ht="20.05" customHeight="1" x14ac:dyDescent="0.4">
      <c r="B76" s="153" t="s">
        <v>125</v>
      </c>
      <c r="C76" s="42"/>
      <c r="D76" s="42"/>
      <c r="E76" s="42"/>
      <c r="F76" s="42"/>
      <c r="G76" s="42"/>
      <c r="H76" s="42"/>
      <c r="I76" s="42"/>
      <c r="J76" s="42"/>
      <c r="K76" s="42">
        <f>J77</f>
        <v>627813</v>
      </c>
      <c r="L76" s="42">
        <f>K77</f>
        <v>642216</v>
      </c>
      <c r="M76" s="151">
        <f>L77</f>
        <v>1850748</v>
      </c>
      <c r="N76" s="152">
        <f>M77</f>
        <v>1710388.9674499999</v>
      </c>
      <c r="O76" s="152">
        <f t="shared" ref="O76:BF76" si="663">N77</f>
        <v>1620376.8656499998</v>
      </c>
      <c r="P76" s="152">
        <f t="shared" si="663"/>
        <v>1628163.0019299998</v>
      </c>
      <c r="Q76" s="152">
        <f t="shared" si="663"/>
        <v>1470411.8694649998</v>
      </c>
      <c r="R76" s="152">
        <f t="shared" si="663"/>
        <v>1297313.5783949997</v>
      </c>
      <c r="S76" s="152">
        <f t="shared" si="663"/>
        <v>1194216.9887949997</v>
      </c>
      <c r="T76" s="152">
        <f t="shared" si="663"/>
        <v>1242893.0576949997</v>
      </c>
      <c r="U76" s="152">
        <f t="shared" si="663"/>
        <v>1065303.5004699999</v>
      </c>
      <c r="V76" s="152">
        <f t="shared" si="663"/>
        <v>871372.12690749974</v>
      </c>
      <c r="W76" s="152">
        <f t="shared" si="663"/>
        <v>763641.68005999981</v>
      </c>
      <c r="X76" s="152">
        <f t="shared" si="663"/>
        <v>893996.23330499989</v>
      </c>
      <c r="Y76" s="152">
        <f t="shared" si="663"/>
        <v>733897.04235499993</v>
      </c>
      <c r="Z76" s="152">
        <f t="shared" si="663"/>
        <v>529868.47515499999</v>
      </c>
      <c r="AA76" s="152">
        <f t="shared" si="663"/>
        <v>435332.31560812506</v>
      </c>
      <c r="AB76" s="152">
        <f t="shared" si="663"/>
        <v>691802.40762812505</v>
      </c>
      <c r="AC76" s="152">
        <f t="shared" si="663"/>
        <v>592152.9264681252</v>
      </c>
      <c r="AD76" s="152">
        <f t="shared" si="663"/>
        <v>440538.7635731253</v>
      </c>
      <c r="AE76" s="152">
        <f t="shared" si="663"/>
        <v>408285.12197312532</v>
      </c>
      <c r="AF76" s="152">
        <f t="shared" si="663"/>
        <v>794404.4449456255</v>
      </c>
      <c r="AG76" s="152">
        <f t="shared" si="663"/>
        <v>770921.78655437578</v>
      </c>
      <c r="AH76" s="152">
        <f t="shared" si="663"/>
        <v>633874.68367187586</v>
      </c>
      <c r="AI76" s="152">
        <f t="shared" si="663"/>
        <v>645163.47390875104</v>
      </c>
      <c r="AJ76" s="152">
        <f t="shared" si="663"/>
        <v>1111060.2664609388</v>
      </c>
      <c r="AK76" s="152">
        <f t="shared" si="663"/>
        <v>1126080.3769246892</v>
      </c>
      <c r="AL76" s="152">
        <f t="shared" si="663"/>
        <v>1004384.8603840644</v>
      </c>
      <c r="AM76" s="152">
        <f t="shared" si="663"/>
        <v>1058829.1087128143</v>
      </c>
      <c r="AN76" s="152">
        <f t="shared" si="663"/>
        <v>1652802.9163928146</v>
      </c>
      <c r="AO76" s="152">
        <f t="shared" si="663"/>
        <v>1696524.0597146896</v>
      </c>
      <c r="AP76" s="152">
        <f t="shared" si="663"/>
        <v>1667630.4630609397</v>
      </c>
      <c r="AQ76" s="152">
        <f t="shared" si="663"/>
        <v>1763765.6330021897</v>
      </c>
      <c r="AR76" s="152">
        <f t="shared" si="663"/>
        <v>2403517.0593451587</v>
      </c>
      <c r="AS76" s="152">
        <f t="shared" si="663"/>
        <v>2483905.917054065</v>
      </c>
      <c r="AT76" s="152">
        <f t="shared" si="663"/>
        <v>2481113.4404029716</v>
      </c>
      <c r="AU76" s="152">
        <f t="shared" si="663"/>
        <v>2624105.2098278156</v>
      </c>
      <c r="AV76" s="152">
        <f t="shared" si="663"/>
        <v>3396885.7431950034</v>
      </c>
      <c r="AW76" s="152">
        <f t="shared" si="663"/>
        <v>3521357.9072028161</v>
      </c>
      <c r="AX76" s="152">
        <f t="shared" si="663"/>
        <v>3673307.9357450036</v>
      </c>
      <c r="AY76" s="152">
        <f t="shared" si="663"/>
        <v>3876301.5345371915</v>
      </c>
      <c r="AZ76" s="152">
        <f t="shared" si="663"/>
        <v>4663701.8220504727</v>
      </c>
      <c r="BA76" s="152">
        <f t="shared" si="663"/>
        <v>4839311.0934296912</v>
      </c>
      <c r="BB76" s="152">
        <f t="shared" si="663"/>
        <v>5048280.2724364102</v>
      </c>
      <c r="BC76" s="152">
        <f t="shared" si="663"/>
        <v>5315431.8537478168</v>
      </c>
      <c r="BD76" s="152">
        <f t="shared" si="663"/>
        <v>6236538.7593309423</v>
      </c>
      <c r="BE76" s="152">
        <f t="shared" si="663"/>
        <v>6473143.469663443</v>
      </c>
      <c r="BF76" s="152">
        <f t="shared" si="663"/>
        <v>6749046.8104409436</v>
      </c>
      <c r="BG76" s="1" t="s">
        <v>7</v>
      </c>
      <c r="BH76" s="153" t="s">
        <v>125</v>
      </c>
      <c r="BI76" s="42"/>
      <c r="BJ76" s="42">
        <f>BI77</f>
        <v>711628</v>
      </c>
      <c r="BK76" s="42">
        <f t="shared" ref="BK76:BV76" si="664">BJ77</f>
        <v>627813</v>
      </c>
      <c r="BL76" s="42">
        <f t="shared" si="664"/>
        <v>1620376.8656499998</v>
      </c>
      <c r="BM76" s="42">
        <f t="shared" si="664"/>
        <v>1194216.9887949997</v>
      </c>
      <c r="BN76" s="42">
        <f t="shared" si="664"/>
        <v>763641.68005999981</v>
      </c>
      <c r="BO76" s="42">
        <f t="shared" si="664"/>
        <v>435332.31560812506</v>
      </c>
      <c r="BP76" s="42">
        <f t="shared" si="664"/>
        <v>408285.12197312532</v>
      </c>
      <c r="BQ76" s="42">
        <f t="shared" si="664"/>
        <v>645163.47390875104</v>
      </c>
      <c r="BR76" s="42">
        <f t="shared" si="664"/>
        <v>1058829.1087128143</v>
      </c>
      <c r="BS76" s="42">
        <f t="shared" si="664"/>
        <v>1763765.6330021897</v>
      </c>
      <c r="BT76" s="42">
        <f t="shared" si="664"/>
        <v>2624105.2098278156</v>
      </c>
      <c r="BU76" s="42">
        <f t="shared" si="664"/>
        <v>3876301.5345371915</v>
      </c>
      <c r="BV76" s="42">
        <f t="shared" si="664"/>
        <v>5315431.8537478168</v>
      </c>
    </row>
    <row r="77" spans="2:75" ht="20.05" customHeight="1" x14ac:dyDescent="0.4">
      <c r="B77" s="153" t="s">
        <v>126</v>
      </c>
      <c r="C77" s="42"/>
      <c r="D77" s="42"/>
      <c r="E77" s="42"/>
      <c r="F77" s="42">
        <v>711628</v>
      </c>
      <c r="G77" s="42"/>
      <c r="H77" s="42"/>
      <c r="I77" s="42"/>
      <c r="J77" s="42">
        <v>627813</v>
      </c>
      <c r="K77" s="42">
        <v>642216</v>
      </c>
      <c r="L77" s="42">
        <v>1850748</v>
      </c>
      <c r="M77" s="151">
        <f>M75+M76</f>
        <v>1710388.9674499999</v>
      </c>
      <c r="N77" s="152">
        <f>N75+N76</f>
        <v>1620376.8656499998</v>
      </c>
      <c r="O77" s="152">
        <f t="shared" ref="O77:V77" si="665">O75+O76</f>
        <v>1628163.0019299998</v>
      </c>
      <c r="P77" s="152">
        <f t="shared" si="665"/>
        <v>1470411.8694649998</v>
      </c>
      <c r="Q77" s="152">
        <f t="shared" si="665"/>
        <v>1297313.5783949997</v>
      </c>
      <c r="R77" s="152">
        <f t="shared" si="665"/>
        <v>1194216.9887949997</v>
      </c>
      <c r="S77" s="152">
        <f t="shared" si="665"/>
        <v>1242893.0576949997</v>
      </c>
      <c r="T77" s="152">
        <f t="shared" si="665"/>
        <v>1065303.5004699999</v>
      </c>
      <c r="U77" s="152">
        <f t="shared" si="665"/>
        <v>871372.12690749974</v>
      </c>
      <c r="V77" s="152">
        <f t="shared" si="665"/>
        <v>763641.68005999981</v>
      </c>
      <c r="W77" s="152">
        <f t="shared" ref="W77" si="666">W75+W76</f>
        <v>893996.23330499989</v>
      </c>
      <c r="X77" s="152">
        <f t="shared" ref="X77" si="667">X75+X76</f>
        <v>733897.04235499993</v>
      </c>
      <c r="Y77" s="152">
        <f t="shared" ref="Y77" si="668">Y75+Y76</f>
        <v>529868.47515499999</v>
      </c>
      <c r="Z77" s="152">
        <f t="shared" ref="Z77" si="669">Z75+Z76</f>
        <v>435332.31560812506</v>
      </c>
      <c r="AA77" s="152">
        <f t="shared" ref="AA77" si="670">AA75+AA76</f>
        <v>691802.40762812505</v>
      </c>
      <c r="AB77" s="152">
        <f t="shared" ref="AB77" si="671">AB75+AB76</f>
        <v>592152.9264681252</v>
      </c>
      <c r="AC77" s="152">
        <f t="shared" ref="AC77" si="672">AC75+AC76</f>
        <v>440538.7635731253</v>
      </c>
      <c r="AD77" s="152">
        <f t="shared" ref="AD77" si="673">AD75+AD76</f>
        <v>408285.12197312532</v>
      </c>
      <c r="AE77" s="152">
        <f t="shared" ref="AE77" si="674">AE75+AE76</f>
        <v>794404.4449456255</v>
      </c>
      <c r="AF77" s="152">
        <f t="shared" ref="AF77" si="675">AF75+AF76</f>
        <v>770921.78655437578</v>
      </c>
      <c r="AG77" s="152">
        <f t="shared" ref="AG77" si="676">AG75+AG76</f>
        <v>633874.68367187586</v>
      </c>
      <c r="AH77" s="152">
        <f t="shared" ref="AH77" si="677">AH75+AH76</f>
        <v>645163.47390875104</v>
      </c>
      <c r="AI77" s="152">
        <f t="shared" ref="AI77" si="678">AI75+AI76</f>
        <v>1111060.2664609388</v>
      </c>
      <c r="AJ77" s="152">
        <f t="shared" ref="AJ77" si="679">AJ75+AJ76</f>
        <v>1126080.3769246892</v>
      </c>
      <c r="AK77" s="152">
        <f t="shared" ref="AK77" si="680">AK75+AK76</f>
        <v>1004384.8603840644</v>
      </c>
      <c r="AL77" s="152">
        <f t="shared" ref="AL77" si="681">AL75+AL76</f>
        <v>1058829.1087128143</v>
      </c>
      <c r="AM77" s="152">
        <f t="shared" ref="AM77" si="682">AM75+AM76</f>
        <v>1652802.9163928146</v>
      </c>
      <c r="AN77" s="152">
        <f t="shared" ref="AN77" si="683">AN75+AN76</f>
        <v>1696524.0597146896</v>
      </c>
      <c r="AO77" s="152">
        <f t="shared" ref="AO77" si="684">AO75+AO76</f>
        <v>1667630.4630609397</v>
      </c>
      <c r="AP77" s="152">
        <f t="shared" ref="AP77" si="685">AP75+AP76</f>
        <v>1763765.6330021897</v>
      </c>
      <c r="AQ77" s="152">
        <f t="shared" ref="AQ77" si="686">AQ75+AQ76</f>
        <v>2403517.0593451587</v>
      </c>
      <c r="AR77" s="152">
        <f t="shared" ref="AR77" si="687">AR75+AR76</f>
        <v>2483905.917054065</v>
      </c>
      <c r="AS77" s="152">
        <f t="shared" ref="AS77" si="688">AS75+AS76</f>
        <v>2481113.4404029716</v>
      </c>
      <c r="AT77" s="152">
        <f t="shared" ref="AT77" si="689">AT75+AT76</f>
        <v>2624105.2098278156</v>
      </c>
      <c r="AU77" s="152">
        <f t="shared" ref="AU77" si="690">AU75+AU76</f>
        <v>3396885.7431950034</v>
      </c>
      <c r="AV77" s="152">
        <f t="shared" ref="AV77" si="691">AV75+AV76</f>
        <v>3521357.9072028161</v>
      </c>
      <c r="AW77" s="152">
        <f t="shared" ref="AW77" si="692">AW75+AW76</f>
        <v>3673307.9357450036</v>
      </c>
      <c r="AX77" s="152">
        <f t="shared" ref="AX77" si="693">AX75+AX76</f>
        <v>3876301.5345371915</v>
      </c>
      <c r="AY77" s="152">
        <f t="shared" ref="AY77" si="694">AY75+AY76</f>
        <v>4663701.8220504727</v>
      </c>
      <c r="AZ77" s="152">
        <f t="shared" ref="AZ77" si="695">AZ75+AZ76</f>
        <v>4839311.0934296912</v>
      </c>
      <c r="BA77" s="152">
        <f t="shared" ref="BA77" si="696">BA75+BA76</f>
        <v>5048280.2724364102</v>
      </c>
      <c r="BB77" s="152">
        <f t="shared" ref="BB77" si="697">BB75+BB76</f>
        <v>5315431.8537478168</v>
      </c>
      <c r="BC77" s="152">
        <f t="shared" ref="BC77" si="698">BC75+BC76</f>
        <v>6236538.7593309423</v>
      </c>
      <c r="BD77" s="152">
        <f t="shared" ref="BD77" si="699">BD75+BD76</f>
        <v>6473143.469663443</v>
      </c>
      <c r="BE77" s="152">
        <f t="shared" ref="BE77" si="700">BE75+BE76</f>
        <v>6749046.8104409436</v>
      </c>
      <c r="BF77" s="152">
        <f t="shared" ref="BF77" si="701">BF75+BF76</f>
        <v>7092672.7683228189</v>
      </c>
      <c r="BG77" s="1" t="s">
        <v>7</v>
      </c>
      <c r="BH77" s="153" t="s">
        <v>126</v>
      </c>
      <c r="BI77" s="42">
        <f>SUMIF($C$37:$BF$37,BI$5,$C77:$BF77)</f>
        <v>711628</v>
      </c>
      <c r="BJ77" s="42">
        <f t="shared" ref="BJ77:BV77" si="702">SUMIF($C$37:$BF$37,BJ$5,$C77:$BF77)</f>
        <v>627813</v>
      </c>
      <c r="BK77" s="42">
        <f t="shared" si="702"/>
        <v>1620376.8656499998</v>
      </c>
      <c r="BL77" s="42">
        <f t="shared" si="702"/>
        <v>1194216.9887949997</v>
      </c>
      <c r="BM77" s="42">
        <f t="shared" si="702"/>
        <v>763641.68005999981</v>
      </c>
      <c r="BN77" s="42">
        <f t="shared" si="702"/>
        <v>435332.31560812506</v>
      </c>
      <c r="BO77" s="42">
        <f t="shared" si="702"/>
        <v>408285.12197312532</v>
      </c>
      <c r="BP77" s="42">
        <f t="shared" si="702"/>
        <v>645163.47390875104</v>
      </c>
      <c r="BQ77" s="42">
        <f t="shared" si="702"/>
        <v>1058829.1087128143</v>
      </c>
      <c r="BR77" s="42">
        <f t="shared" si="702"/>
        <v>1763765.6330021897</v>
      </c>
      <c r="BS77" s="42">
        <f t="shared" si="702"/>
        <v>2624105.2098278156</v>
      </c>
      <c r="BT77" s="42">
        <f t="shared" si="702"/>
        <v>3876301.5345371915</v>
      </c>
      <c r="BU77" s="42">
        <f t="shared" si="702"/>
        <v>5315431.8537478168</v>
      </c>
      <c r="BV77" s="42">
        <f t="shared" si="702"/>
        <v>7092672.7683228189</v>
      </c>
    </row>
    <row r="78" spans="2:75" ht="20.05" customHeight="1" x14ac:dyDescent="0.4">
      <c r="B78" s="33" t="s">
        <v>124</v>
      </c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53">
        <f>IF(M77&lt;0,M77,0)</f>
        <v>0</v>
      </c>
      <c r="N78" s="71">
        <f t="shared" ref="N78:BF78" si="703">IF(N77&lt;0,N77,0)</f>
        <v>0</v>
      </c>
      <c r="O78" s="71">
        <f t="shared" si="703"/>
        <v>0</v>
      </c>
      <c r="P78" s="71">
        <f t="shared" si="703"/>
        <v>0</v>
      </c>
      <c r="Q78" s="71">
        <f t="shared" si="703"/>
        <v>0</v>
      </c>
      <c r="R78" s="71">
        <f t="shared" si="703"/>
        <v>0</v>
      </c>
      <c r="S78" s="71">
        <f t="shared" si="703"/>
        <v>0</v>
      </c>
      <c r="T78" s="71">
        <f t="shared" si="703"/>
        <v>0</v>
      </c>
      <c r="U78" s="71">
        <f t="shared" si="703"/>
        <v>0</v>
      </c>
      <c r="V78" s="71">
        <f t="shared" si="703"/>
        <v>0</v>
      </c>
      <c r="W78" s="71">
        <f t="shared" si="703"/>
        <v>0</v>
      </c>
      <c r="X78" s="71">
        <f t="shared" si="703"/>
        <v>0</v>
      </c>
      <c r="Y78" s="71">
        <f t="shared" si="703"/>
        <v>0</v>
      </c>
      <c r="Z78" s="71">
        <f t="shared" si="703"/>
        <v>0</v>
      </c>
      <c r="AA78" s="71">
        <f t="shared" si="703"/>
        <v>0</v>
      </c>
      <c r="AB78" s="71">
        <f t="shared" si="703"/>
        <v>0</v>
      </c>
      <c r="AC78" s="71">
        <f t="shared" si="703"/>
        <v>0</v>
      </c>
      <c r="AD78" s="71">
        <f t="shared" si="703"/>
        <v>0</v>
      </c>
      <c r="AE78" s="71">
        <f t="shared" si="703"/>
        <v>0</v>
      </c>
      <c r="AF78" s="71">
        <f t="shared" si="703"/>
        <v>0</v>
      </c>
      <c r="AG78" s="71">
        <f t="shared" si="703"/>
        <v>0</v>
      </c>
      <c r="AH78" s="71">
        <f t="shared" si="703"/>
        <v>0</v>
      </c>
      <c r="AI78" s="71">
        <f t="shared" si="703"/>
        <v>0</v>
      </c>
      <c r="AJ78" s="71">
        <f t="shared" si="703"/>
        <v>0</v>
      </c>
      <c r="AK78" s="71">
        <f t="shared" si="703"/>
        <v>0</v>
      </c>
      <c r="AL78" s="71">
        <f t="shared" si="703"/>
        <v>0</v>
      </c>
      <c r="AM78" s="71">
        <f t="shared" si="703"/>
        <v>0</v>
      </c>
      <c r="AN78" s="71">
        <f t="shared" si="703"/>
        <v>0</v>
      </c>
      <c r="AO78" s="71">
        <f t="shared" si="703"/>
        <v>0</v>
      </c>
      <c r="AP78" s="71">
        <f t="shared" si="703"/>
        <v>0</v>
      </c>
      <c r="AQ78" s="71">
        <f t="shared" si="703"/>
        <v>0</v>
      </c>
      <c r="AR78" s="71">
        <f t="shared" si="703"/>
        <v>0</v>
      </c>
      <c r="AS78" s="71">
        <f t="shared" si="703"/>
        <v>0</v>
      </c>
      <c r="AT78" s="71">
        <f t="shared" si="703"/>
        <v>0</v>
      </c>
      <c r="AU78" s="71">
        <f t="shared" si="703"/>
        <v>0</v>
      </c>
      <c r="AV78" s="71">
        <f t="shared" si="703"/>
        <v>0</v>
      </c>
      <c r="AW78" s="71">
        <f t="shared" si="703"/>
        <v>0</v>
      </c>
      <c r="AX78" s="71">
        <f t="shared" si="703"/>
        <v>0</v>
      </c>
      <c r="AY78" s="71">
        <f t="shared" si="703"/>
        <v>0</v>
      </c>
      <c r="AZ78" s="71">
        <f t="shared" si="703"/>
        <v>0</v>
      </c>
      <c r="BA78" s="71">
        <f t="shared" si="703"/>
        <v>0</v>
      </c>
      <c r="BB78" s="71">
        <f t="shared" si="703"/>
        <v>0</v>
      </c>
      <c r="BC78" s="71">
        <f t="shared" si="703"/>
        <v>0</v>
      </c>
      <c r="BD78" s="71">
        <f t="shared" si="703"/>
        <v>0</v>
      </c>
      <c r="BE78" s="71">
        <f t="shared" si="703"/>
        <v>0</v>
      </c>
      <c r="BF78" s="71">
        <f t="shared" si="703"/>
        <v>0</v>
      </c>
      <c r="BG78" s="1" t="s">
        <v>7</v>
      </c>
      <c r="BH78" s="33" t="s">
        <v>124</v>
      </c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</row>
    <row r="79" spans="2:75" ht="20.05" customHeight="1" x14ac:dyDescent="0.4">
      <c r="B79" s="24"/>
      <c r="C79" s="2"/>
      <c r="D79" s="2"/>
      <c r="E79" s="2"/>
      <c r="F79" s="2"/>
      <c r="G79" s="2"/>
      <c r="H79" s="2"/>
      <c r="I79" s="2"/>
      <c r="J79" s="2"/>
      <c r="K79" s="2"/>
      <c r="L79" s="2"/>
      <c r="M79" s="53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1" t="s">
        <v>7</v>
      </c>
      <c r="BH79" s="24"/>
      <c r="BK79" s="84"/>
      <c r="BL79" s="84"/>
      <c r="BM79" s="84"/>
      <c r="BN79" s="84"/>
      <c r="BO79" s="84"/>
      <c r="BP79" s="84"/>
      <c r="BQ79" s="84"/>
      <c r="BR79" s="84"/>
      <c r="BS79" s="84"/>
      <c r="BT79" s="84"/>
      <c r="BU79" s="84"/>
      <c r="BV79" s="84"/>
    </row>
    <row r="80" spans="2:75" ht="20.05" customHeight="1" x14ac:dyDescent="0.4">
      <c r="B80" s="30" t="s">
        <v>46</v>
      </c>
      <c r="C80" s="42">
        <f t="shared" ref="C80:AH80" si="704">C38*C46*1000</f>
        <v>80229.999999999985</v>
      </c>
      <c r="D80" s="42">
        <f t="shared" si="704"/>
        <v>96560</v>
      </c>
      <c r="E80" s="42">
        <f t="shared" si="704"/>
        <v>112480</v>
      </c>
      <c r="F80" s="42">
        <f t="shared" si="704"/>
        <v>164920</v>
      </c>
      <c r="G80" s="42">
        <f t="shared" si="704"/>
        <v>127200</v>
      </c>
      <c r="H80" s="42">
        <f t="shared" si="704"/>
        <v>148500</v>
      </c>
      <c r="I80" s="42">
        <f t="shared" si="704"/>
        <v>186400</v>
      </c>
      <c r="J80" s="42">
        <f t="shared" si="704"/>
        <v>259120</v>
      </c>
      <c r="K80" s="42">
        <f t="shared" si="704"/>
        <v>191250</v>
      </c>
      <c r="L80" s="42">
        <f t="shared" si="704"/>
        <v>237999.99999999997</v>
      </c>
      <c r="M80" s="56">
        <f t="shared" si="704"/>
        <v>285570</v>
      </c>
      <c r="N80" s="29">
        <f t="shared" si="704"/>
        <v>374100</v>
      </c>
      <c r="O80" s="29">
        <f t="shared" si="704"/>
        <v>260365</v>
      </c>
      <c r="P80" s="29">
        <f t="shared" si="704"/>
        <v>321780</v>
      </c>
      <c r="Q80" s="29">
        <f t="shared" si="704"/>
        <v>387150.00000000006</v>
      </c>
      <c r="R80" s="29">
        <f t="shared" si="704"/>
        <v>493500.00000000006</v>
      </c>
      <c r="S80" s="29">
        <f t="shared" si="704"/>
        <v>336159.99999999994</v>
      </c>
      <c r="T80" s="29">
        <f t="shared" si="704"/>
        <v>412719.99999999994</v>
      </c>
      <c r="U80" s="29">
        <f t="shared" si="704"/>
        <v>496485</v>
      </c>
      <c r="V80" s="29">
        <f t="shared" si="704"/>
        <v>621220</v>
      </c>
      <c r="W80" s="29">
        <f t="shared" si="704"/>
        <v>416622.49999999994</v>
      </c>
      <c r="X80" s="29">
        <f t="shared" si="704"/>
        <v>508807.49999999994</v>
      </c>
      <c r="Y80" s="29">
        <f t="shared" si="704"/>
        <v>611550</v>
      </c>
      <c r="Z80" s="29">
        <f t="shared" si="704"/>
        <v>755222.50000000012</v>
      </c>
      <c r="AA80" s="29">
        <f t="shared" si="704"/>
        <v>499589.99999999994</v>
      </c>
      <c r="AB80" s="29">
        <f t="shared" si="704"/>
        <v>607880</v>
      </c>
      <c r="AC80" s="29">
        <f t="shared" si="704"/>
        <v>730170.00000000012</v>
      </c>
      <c r="AD80" s="29">
        <f t="shared" si="704"/>
        <v>893320</v>
      </c>
      <c r="AE80" s="29">
        <f t="shared" si="704"/>
        <v>575812.5</v>
      </c>
      <c r="AF80" s="29">
        <f t="shared" si="704"/>
        <v>700687.49999999988</v>
      </c>
      <c r="AG80" s="29">
        <f t="shared" si="704"/>
        <v>843045.00000000012</v>
      </c>
      <c r="AH80" s="29">
        <f t="shared" si="704"/>
        <v>1026162.5000000001</v>
      </c>
      <c r="AI80" s="29">
        <f t="shared" ref="AI80:BF80" si="705">AI38*AI46*1000</f>
        <v>644839.99999999988</v>
      </c>
      <c r="AJ80" s="29">
        <f t="shared" si="705"/>
        <v>786780</v>
      </c>
      <c r="AK80" s="29">
        <f t="shared" si="705"/>
        <v>949725</v>
      </c>
      <c r="AL80" s="29">
        <f t="shared" si="705"/>
        <v>1153300</v>
      </c>
      <c r="AM80" s="29">
        <f t="shared" si="705"/>
        <v>701447.5</v>
      </c>
      <c r="AN80" s="29">
        <f t="shared" si="705"/>
        <v>860932.49999999988</v>
      </c>
      <c r="AO80" s="29">
        <f t="shared" si="705"/>
        <v>1044960</v>
      </c>
      <c r="AP80" s="29">
        <f t="shared" si="705"/>
        <v>1269457.5000000002</v>
      </c>
      <c r="AQ80" s="29">
        <f t="shared" si="705"/>
        <v>744959.99999999988</v>
      </c>
      <c r="AR80" s="29">
        <f t="shared" si="705"/>
        <v>922469.99999999977</v>
      </c>
      <c r="AS80" s="29">
        <f t="shared" si="705"/>
        <v>1128075.0000000002</v>
      </c>
      <c r="AT80" s="29">
        <f t="shared" si="705"/>
        <v>1373960</v>
      </c>
      <c r="AU80" s="29">
        <f t="shared" si="705"/>
        <v>774702.5</v>
      </c>
      <c r="AV80" s="29">
        <f t="shared" si="705"/>
        <v>970717.49999999988</v>
      </c>
      <c r="AW80" s="29">
        <f t="shared" si="705"/>
        <v>1198395.0000000002</v>
      </c>
      <c r="AX80" s="29">
        <f t="shared" si="705"/>
        <v>1466132.5000000002</v>
      </c>
      <c r="AY80" s="29">
        <f t="shared" si="705"/>
        <v>790000</v>
      </c>
      <c r="AZ80" s="29">
        <f t="shared" si="705"/>
        <v>1004999.9999999999</v>
      </c>
      <c r="BA80" s="29">
        <f t="shared" si="705"/>
        <v>1255245.0000000002</v>
      </c>
      <c r="BB80" s="29">
        <f t="shared" si="705"/>
        <v>1545300.0000000002</v>
      </c>
      <c r="BC80" s="29">
        <f t="shared" si="705"/>
        <v>790177.49999999988</v>
      </c>
      <c r="BD80" s="29">
        <f t="shared" si="705"/>
        <v>1024642.4999999999</v>
      </c>
      <c r="BE80" s="29">
        <f t="shared" si="705"/>
        <v>1297950</v>
      </c>
      <c r="BF80" s="29">
        <f t="shared" si="705"/>
        <v>1610787.5</v>
      </c>
      <c r="BG80" s="1" t="s">
        <v>7</v>
      </c>
      <c r="BH80" s="30" t="s">
        <v>46</v>
      </c>
      <c r="BI80" s="185">
        <f t="shared" ref="BI80:BV80" si="706">SUMIF($C$4:$BF$4,BI$5,$C80:$BF80)</f>
        <v>454190</v>
      </c>
      <c r="BJ80" s="185">
        <f t="shared" si="706"/>
        <v>721220</v>
      </c>
      <c r="BK80" s="185">
        <f t="shared" si="706"/>
        <v>1088920</v>
      </c>
      <c r="BL80" s="185">
        <f t="shared" si="706"/>
        <v>1462795</v>
      </c>
      <c r="BM80" s="185">
        <f t="shared" si="706"/>
        <v>1866585</v>
      </c>
      <c r="BN80" s="185">
        <f t="shared" si="706"/>
        <v>2292202.5</v>
      </c>
      <c r="BO80" s="185">
        <f t="shared" si="706"/>
        <v>2730960</v>
      </c>
      <c r="BP80" s="185">
        <f t="shared" si="706"/>
        <v>3145707.5</v>
      </c>
      <c r="BQ80" s="185">
        <f t="shared" si="706"/>
        <v>3534645</v>
      </c>
      <c r="BR80" s="185">
        <f t="shared" si="706"/>
        <v>3876797.5</v>
      </c>
      <c r="BS80" s="185">
        <f t="shared" si="706"/>
        <v>4169465</v>
      </c>
      <c r="BT80" s="185">
        <f t="shared" si="706"/>
        <v>4409947.5</v>
      </c>
      <c r="BU80" s="185">
        <f t="shared" si="706"/>
        <v>4595545</v>
      </c>
      <c r="BV80" s="185">
        <f t="shared" si="706"/>
        <v>4723557.5</v>
      </c>
      <c r="BW80" s="84"/>
    </row>
    <row r="81" spans="2:74" ht="20.05" customHeight="1" x14ac:dyDescent="0.4">
      <c r="B81" s="34" t="s">
        <v>3</v>
      </c>
      <c r="C81" s="42"/>
      <c r="D81" s="36">
        <f>D80/C80-1</f>
        <v>0.20353982300884987</v>
      </c>
      <c r="E81" s="36">
        <f t="shared" ref="E81:BF81" si="707">E80/D80-1</f>
        <v>0.16487158243579114</v>
      </c>
      <c r="F81" s="36">
        <f t="shared" si="707"/>
        <v>0.46621621621621623</v>
      </c>
      <c r="G81" s="36">
        <f t="shared" si="707"/>
        <v>-0.22871695367450884</v>
      </c>
      <c r="H81" s="36">
        <f t="shared" si="707"/>
        <v>0.16745283018867929</v>
      </c>
      <c r="I81" s="36">
        <f t="shared" si="707"/>
        <v>0.25521885521885523</v>
      </c>
      <c r="J81" s="36">
        <f t="shared" si="707"/>
        <v>0.39012875536480696</v>
      </c>
      <c r="K81" s="36">
        <f t="shared" si="707"/>
        <v>-0.26192497684470517</v>
      </c>
      <c r="L81" s="36">
        <f t="shared" si="707"/>
        <v>0.24444444444444424</v>
      </c>
      <c r="M81" s="80">
        <f t="shared" si="707"/>
        <v>0.19987394957983207</v>
      </c>
      <c r="N81" s="41">
        <f t="shared" si="707"/>
        <v>0.31001155583569706</v>
      </c>
      <c r="O81" s="41">
        <f t="shared" si="707"/>
        <v>-0.30402298850574716</v>
      </c>
      <c r="P81" s="41">
        <f t="shared" si="707"/>
        <v>0.23588039867109645</v>
      </c>
      <c r="Q81" s="41">
        <f t="shared" si="707"/>
        <v>0.20315122133134467</v>
      </c>
      <c r="R81" s="41">
        <f t="shared" si="707"/>
        <v>0.27469972878729165</v>
      </c>
      <c r="S81" s="41">
        <f t="shared" si="707"/>
        <v>-0.31882472137791307</v>
      </c>
      <c r="T81" s="41">
        <f t="shared" si="707"/>
        <v>0.22774869109947637</v>
      </c>
      <c r="U81" s="41">
        <f t="shared" si="707"/>
        <v>0.20295842217484017</v>
      </c>
      <c r="V81" s="41">
        <f t="shared" si="707"/>
        <v>0.25123619041864309</v>
      </c>
      <c r="W81" s="41">
        <f t="shared" si="707"/>
        <v>-0.32934789607546455</v>
      </c>
      <c r="X81" s="41">
        <f t="shared" si="707"/>
        <v>0.22126745435016115</v>
      </c>
      <c r="Y81" s="41">
        <f t="shared" si="707"/>
        <v>0.20192803761737022</v>
      </c>
      <c r="Z81" s="41">
        <f t="shared" si="707"/>
        <v>0.2349317308478458</v>
      </c>
      <c r="AA81" s="41">
        <f t="shared" si="707"/>
        <v>-0.33848634011830969</v>
      </c>
      <c r="AB81" s="41">
        <f t="shared" si="707"/>
        <v>0.21675774134790537</v>
      </c>
      <c r="AC81" s="41">
        <f t="shared" si="707"/>
        <v>0.20117457392906513</v>
      </c>
      <c r="AD81" s="41">
        <f t="shared" si="707"/>
        <v>0.22344111645233289</v>
      </c>
      <c r="AE81" s="41">
        <f t="shared" si="707"/>
        <v>-0.35542414812161371</v>
      </c>
      <c r="AF81" s="41">
        <f t="shared" si="707"/>
        <v>0.21686746987951788</v>
      </c>
      <c r="AG81" s="41">
        <f t="shared" si="707"/>
        <v>0.20316831683168357</v>
      </c>
      <c r="AH81" s="41">
        <f t="shared" si="707"/>
        <v>0.2172096388686251</v>
      </c>
      <c r="AI81" s="41">
        <f t="shared" si="707"/>
        <v>-0.37160050186983073</v>
      </c>
      <c r="AJ81" s="41">
        <f t="shared" si="707"/>
        <v>0.22011661807580207</v>
      </c>
      <c r="AK81" s="41">
        <f t="shared" si="707"/>
        <v>0.2071036376115305</v>
      </c>
      <c r="AL81" s="41">
        <f t="shared" si="707"/>
        <v>0.21435152280923431</v>
      </c>
      <c r="AM81" s="41">
        <f t="shared" si="707"/>
        <v>-0.39179094771525191</v>
      </c>
      <c r="AN81" s="41">
        <f t="shared" si="707"/>
        <v>0.22736555479918286</v>
      </c>
      <c r="AO81" s="41">
        <f t="shared" si="707"/>
        <v>0.21375369149149348</v>
      </c>
      <c r="AP81" s="41">
        <f t="shared" si="707"/>
        <v>0.21483836701883341</v>
      </c>
      <c r="AQ81" s="41">
        <f t="shared" si="707"/>
        <v>-0.41316664795788771</v>
      </c>
      <c r="AR81" s="41">
        <f t="shared" si="707"/>
        <v>0.23828124999999978</v>
      </c>
      <c r="AS81" s="41">
        <f t="shared" si="707"/>
        <v>0.22288529708283256</v>
      </c>
      <c r="AT81" s="41">
        <f t="shared" si="707"/>
        <v>0.21796866343106602</v>
      </c>
      <c r="AU81" s="41">
        <f t="shared" si="707"/>
        <v>-0.43615352703135457</v>
      </c>
      <c r="AV81" s="41">
        <f t="shared" si="707"/>
        <v>0.2530197075651619</v>
      </c>
      <c r="AW81" s="41">
        <f t="shared" si="707"/>
        <v>0.23454558097489775</v>
      </c>
      <c r="AX81" s="41">
        <f t="shared" si="707"/>
        <v>0.22341339875416688</v>
      </c>
      <c r="AY81" s="41">
        <f t="shared" si="707"/>
        <v>-0.46116739107822802</v>
      </c>
      <c r="AZ81" s="41">
        <f t="shared" si="707"/>
        <v>0.27215189873417711</v>
      </c>
      <c r="BA81" s="41">
        <f t="shared" si="707"/>
        <v>0.24900000000000033</v>
      </c>
      <c r="BB81" s="41">
        <f t="shared" si="707"/>
        <v>0.23107441176822041</v>
      </c>
      <c r="BC81" s="41">
        <f t="shared" si="707"/>
        <v>-0.48865754222481084</v>
      </c>
      <c r="BD81" s="41">
        <f t="shared" si="707"/>
        <v>0.2967244701348748</v>
      </c>
      <c r="BE81" s="41">
        <f t="shared" si="707"/>
        <v>0.26673449520198522</v>
      </c>
      <c r="BF81" s="41">
        <f t="shared" si="707"/>
        <v>0.2410243075619245</v>
      </c>
      <c r="BG81" s="1" t="s">
        <v>7</v>
      </c>
      <c r="BH81" s="34" t="s">
        <v>3</v>
      </c>
      <c r="BI81" s="30"/>
      <c r="BJ81" s="30"/>
      <c r="BK81" s="185"/>
      <c r="BL81" s="185"/>
      <c r="BM81" s="185"/>
      <c r="BN81" s="185"/>
      <c r="BO81" s="185"/>
      <c r="BP81" s="185"/>
      <c r="BQ81" s="185"/>
      <c r="BR81" s="185"/>
      <c r="BS81" s="185"/>
      <c r="BT81" s="185"/>
      <c r="BU81" s="185"/>
      <c r="BV81" s="30"/>
    </row>
    <row r="82" spans="2:74" ht="20.05" customHeight="1" x14ac:dyDescent="0.4">
      <c r="B82" s="34" t="s">
        <v>4</v>
      </c>
      <c r="C82" s="42"/>
      <c r="D82" s="42"/>
      <c r="E82" s="42"/>
      <c r="F82" s="42"/>
      <c r="G82" s="35">
        <f>G80/C80-1</f>
        <v>0.58544185466783039</v>
      </c>
      <c r="H82" s="35">
        <f t="shared" ref="H82:AD82" si="708">H80/D80-1</f>
        <v>0.53790389395194693</v>
      </c>
      <c r="I82" s="35">
        <f t="shared" si="708"/>
        <v>0.65718349928876241</v>
      </c>
      <c r="J82" s="35">
        <f t="shared" si="708"/>
        <v>0.57118602959010434</v>
      </c>
      <c r="K82" s="35">
        <f t="shared" si="708"/>
        <v>0.5035377358490567</v>
      </c>
      <c r="L82" s="35">
        <f t="shared" si="708"/>
        <v>0.6026936026936025</v>
      </c>
      <c r="M82" s="81">
        <f t="shared" si="708"/>
        <v>0.53202789699570818</v>
      </c>
      <c r="N82" s="40">
        <f t="shared" si="708"/>
        <v>0.44373263352886694</v>
      </c>
      <c r="O82" s="40">
        <f t="shared" si="708"/>
        <v>0.36138562091503279</v>
      </c>
      <c r="P82" s="40">
        <f t="shared" si="708"/>
        <v>0.3520168067226892</v>
      </c>
      <c r="Q82" s="40">
        <f t="shared" si="708"/>
        <v>0.35570963336484951</v>
      </c>
      <c r="R82" s="40">
        <f t="shared" si="708"/>
        <v>0.31916599839615101</v>
      </c>
      <c r="S82" s="40">
        <f t="shared" si="708"/>
        <v>0.29111055633437655</v>
      </c>
      <c r="T82" s="40">
        <f t="shared" si="708"/>
        <v>0.28261545155074885</v>
      </c>
      <c r="U82" s="40">
        <f t="shared" si="708"/>
        <v>0.28240991863618725</v>
      </c>
      <c r="V82" s="40">
        <f t="shared" si="708"/>
        <v>0.25880445795339391</v>
      </c>
      <c r="W82" s="40">
        <f t="shared" si="708"/>
        <v>0.23935774631128037</v>
      </c>
      <c r="X82" s="40">
        <f t="shared" si="708"/>
        <v>0.23281522581895731</v>
      </c>
      <c r="Y82" s="40">
        <f t="shared" si="708"/>
        <v>0.23175926765159072</v>
      </c>
      <c r="Z82" s="40">
        <f t="shared" si="708"/>
        <v>0.21570860564695304</v>
      </c>
      <c r="AA82" s="40">
        <f t="shared" si="708"/>
        <v>0.1991431091695719</v>
      </c>
      <c r="AB82" s="40">
        <f t="shared" si="708"/>
        <v>0.19471509362578199</v>
      </c>
      <c r="AC82" s="40">
        <f t="shared" si="708"/>
        <v>0.19396615158204589</v>
      </c>
      <c r="AD82" s="40">
        <f t="shared" si="708"/>
        <v>0.18285670779141228</v>
      </c>
      <c r="AE82" s="40">
        <f t="shared" ref="AE82" si="709">AE80/AA80-1</f>
        <v>0.15257010748814048</v>
      </c>
      <c r="AF82" s="40">
        <f t="shared" ref="AF82" si="710">AF80/AB80-1</f>
        <v>0.15267404750937663</v>
      </c>
      <c r="AG82" s="40">
        <f t="shared" ref="AG82" si="711">AG80/AC80-1</f>
        <v>0.15458728789186083</v>
      </c>
      <c r="AH82" s="40">
        <f t="shared" ref="AH82" si="712">AH80/AD80-1</f>
        <v>0.14870651054493367</v>
      </c>
      <c r="AI82" s="40">
        <f t="shared" ref="AI82" si="713">AI80/AE80-1</f>
        <v>0.11987843264951681</v>
      </c>
      <c r="AJ82" s="40">
        <f t="shared" ref="AJ82" si="714">AJ80/AF80-1</f>
        <v>0.12286861118544312</v>
      </c>
      <c r="AK82" s="40">
        <f t="shared" ref="AK82" si="715">AK80/AG80-1</f>
        <v>0.12654128783161034</v>
      </c>
      <c r="AL82" s="40">
        <f t="shared" ref="AL82" si="716">AL80/AH80-1</f>
        <v>0.12389606909237072</v>
      </c>
      <c r="AM82" s="40">
        <f t="shared" ref="AM82" si="717">AM80/AI80-1</f>
        <v>8.7785342100366259E-2</v>
      </c>
      <c r="AN82" s="40">
        <f t="shared" ref="AN82" si="718">AN80/AJ80-1</f>
        <v>9.4248074429954753E-2</v>
      </c>
      <c r="AO82" s="40">
        <f t="shared" ref="AO82" si="719">AO80/AK80-1</f>
        <v>0.10027639579878378</v>
      </c>
      <c r="AP82" s="40">
        <f t="shared" ref="AP82" si="720">AP80/AL80-1</f>
        <v>0.10071750628630904</v>
      </c>
      <c r="AQ82" s="40">
        <f t="shared" ref="AQ82" si="721">AQ80/AM80-1</f>
        <v>6.2032440061444261E-2</v>
      </c>
      <c r="AR82" s="40">
        <f t="shared" ref="AR82" si="722">AR80/AN80-1</f>
        <v>7.1477729090259512E-2</v>
      </c>
      <c r="AS82" s="40">
        <f t="shared" ref="AS82" si="723">AS80/AO80-1</f>
        <v>7.9538929719798146E-2</v>
      </c>
      <c r="AT82" s="40">
        <f t="shared" ref="AT82" si="724">AT80/AP80-1</f>
        <v>8.2320597578099175E-2</v>
      </c>
      <c r="AU82" s="40">
        <f t="shared" ref="AU82" si="725">AU80/AQ80-1</f>
        <v>3.9924962414089604E-2</v>
      </c>
      <c r="AV82" s="40">
        <f t="shared" ref="AV82" si="726">AV80/AR80-1</f>
        <v>5.2302513902891201E-2</v>
      </c>
      <c r="AW82" s="40">
        <f t="shared" ref="AW82" si="727">AW80/AS80-1</f>
        <v>6.2336280832391511E-2</v>
      </c>
      <c r="AX82" s="40">
        <f t="shared" ref="AX82" si="728">AX80/AT80-1</f>
        <v>6.7085286325657467E-2</v>
      </c>
      <c r="AY82" s="40">
        <f t="shared" ref="AY82" si="729">AY80/AU80-1</f>
        <v>1.9746289704757558E-2</v>
      </c>
      <c r="AZ82" s="40">
        <f t="shared" ref="AZ82" si="730">AZ80/AV80-1</f>
        <v>3.531666009935952E-2</v>
      </c>
      <c r="BA82" s="40">
        <f t="shared" ref="BA82" si="731">BA80/AW80-1</f>
        <v>4.7438448925437804E-2</v>
      </c>
      <c r="BB82" s="40">
        <f t="shared" ref="BB82" si="732">BB80/AX80-1</f>
        <v>5.3997507046600557E-2</v>
      </c>
      <c r="BC82" s="40">
        <f t="shared" ref="BC82" si="733">BC80/AY80-1</f>
        <v>2.2468354430360549E-4</v>
      </c>
      <c r="BD82" s="40">
        <f t="shared" ref="BD82" si="734">BD80/AZ80-1</f>
        <v>1.9544776119402973E-2</v>
      </c>
      <c r="BE82" s="40">
        <f t="shared" ref="BE82" si="735">BE80/BA80-1</f>
        <v>3.4021246848224607E-2</v>
      </c>
      <c r="BF82" s="40">
        <f t="shared" ref="BF82" si="736">BF80/BB80-1</f>
        <v>4.2378502556137843E-2</v>
      </c>
      <c r="BG82" s="1" t="s">
        <v>7</v>
      </c>
      <c r="BH82" s="34" t="s">
        <v>4</v>
      </c>
      <c r="BI82" s="30"/>
      <c r="BJ82" s="196">
        <f>BJ80/BI80-1</f>
        <v>0.58792575794271129</v>
      </c>
      <c r="BK82" s="196">
        <f t="shared" ref="BK82:BV82" si="737">BK80/BJ80-1</f>
        <v>0.50983056487618206</v>
      </c>
      <c r="BL82" s="196">
        <f t="shared" si="737"/>
        <v>0.34334478198582086</v>
      </c>
      <c r="BM82" s="196">
        <f t="shared" si="737"/>
        <v>0.27604004662307435</v>
      </c>
      <c r="BN82" s="196">
        <f t="shared" si="737"/>
        <v>0.22801935084659952</v>
      </c>
      <c r="BO82" s="196">
        <f t="shared" si="737"/>
        <v>0.19141306232760846</v>
      </c>
      <c r="BP82" s="196">
        <f t="shared" si="737"/>
        <v>0.15186875677417455</v>
      </c>
      <c r="BQ82" s="196">
        <f t="shared" si="737"/>
        <v>0.1236407072176926</v>
      </c>
      <c r="BR82" s="196">
        <f t="shared" si="737"/>
        <v>9.6799678609874595E-2</v>
      </c>
      <c r="BS82" s="196">
        <f t="shared" si="737"/>
        <v>7.5492078190826373E-2</v>
      </c>
      <c r="BT82" s="196">
        <f t="shared" si="737"/>
        <v>5.7677064083761387E-2</v>
      </c>
      <c r="BU82" s="196">
        <f t="shared" si="737"/>
        <v>4.2086101932052422E-2</v>
      </c>
      <c r="BV82" s="196">
        <f t="shared" si="737"/>
        <v>2.7855782067197632E-2</v>
      </c>
    </row>
    <row r="83" spans="2:74" ht="20.05" customHeight="1" x14ac:dyDescent="0.4">
      <c r="B83" s="30" t="s">
        <v>47</v>
      </c>
      <c r="C83" s="42">
        <f t="shared" ref="C83:AH83" si="738">C50*C42*1000</f>
        <v>5250</v>
      </c>
      <c r="D83" s="42">
        <f t="shared" si="738"/>
        <v>7400</v>
      </c>
      <c r="E83" s="42">
        <f t="shared" si="738"/>
        <v>10150</v>
      </c>
      <c r="F83" s="42">
        <f t="shared" si="738"/>
        <v>15050</v>
      </c>
      <c r="G83" s="42">
        <f t="shared" si="738"/>
        <v>12000</v>
      </c>
      <c r="H83" s="42">
        <f t="shared" si="738"/>
        <v>11550</v>
      </c>
      <c r="I83" s="42">
        <f t="shared" si="738"/>
        <v>15059.999999999998</v>
      </c>
      <c r="J83" s="42">
        <f t="shared" si="738"/>
        <v>23939.999999999996</v>
      </c>
      <c r="K83" s="42">
        <f t="shared" si="738"/>
        <v>23280</v>
      </c>
      <c r="L83" s="42">
        <f t="shared" si="738"/>
        <v>33000</v>
      </c>
      <c r="M83" s="56">
        <f t="shared" si="738"/>
        <v>37620</v>
      </c>
      <c r="N83" s="29">
        <f t="shared" si="738"/>
        <v>52319.999999999993</v>
      </c>
      <c r="O83" s="29">
        <f t="shared" si="738"/>
        <v>72555</v>
      </c>
      <c r="P83" s="29">
        <f t="shared" si="738"/>
        <v>95985</v>
      </c>
      <c r="Q83" s="29">
        <f t="shared" si="738"/>
        <v>103320.00000000001</v>
      </c>
      <c r="R83" s="29">
        <f t="shared" si="738"/>
        <v>126224.99999999999</v>
      </c>
      <c r="S83" s="29">
        <f t="shared" si="738"/>
        <v>175560.00000000003</v>
      </c>
      <c r="T83" s="29">
        <f t="shared" si="738"/>
        <v>215710</v>
      </c>
      <c r="U83" s="29">
        <f t="shared" si="738"/>
        <v>225990</v>
      </c>
      <c r="V83" s="29">
        <f t="shared" si="738"/>
        <v>258000</v>
      </c>
      <c r="W83" s="29">
        <f t="shared" si="738"/>
        <v>319320.00000000006</v>
      </c>
      <c r="X83" s="29">
        <f t="shared" si="738"/>
        <v>377580.00000000006</v>
      </c>
      <c r="Y83" s="29">
        <f t="shared" si="738"/>
        <v>390150.00000000006</v>
      </c>
      <c r="Z83" s="29">
        <f t="shared" si="738"/>
        <v>431020</v>
      </c>
      <c r="AA83" s="29">
        <f t="shared" si="738"/>
        <v>502950.00000000006</v>
      </c>
      <c r="AB83" s="29">
        <f t="shared" si="738"/>
        <v>580200</v>
      </c>
      <c r="AC83" s="29">
        <f t="shared" si="738"/>
        <v>594715</v>
      </c>
      <c r="AD83" s="29">
        <f t="shared" si="738"/>
        <v>644355</v>
      </c>
      <c r="AE83" s="29">
        <f t="shared" si="738"/>
        <v>726440</v>
      </c>
      <c r="AF83" s="29">
        <f t="shared" si="738"/>
        <v>822710</v>
      </c>
      <c r="AG83" s="29">
        <f t="shared" si="738"/>
        <v>838349.99999999988</v>
      </c>
      <c r="AH83" s="29">
        <f t="shared" si="738"/>
        <v>896040</v>
      </c>
      <c r="AI83" s="29">
        <f t="shared" ref="AI83:BF83" si="739">AI50*AI42*1000</f>
        <v>975302.50000000012</v>
      </c>
      <c r="AJ83" s="29">
        <f t="shared" si="739"/>
        <v>1092030</v>
      </c>
      <c r="AK83" s="29">
        <f t="shared" si="739"/>
        <v>1109699.9999999998</v>
      </c>
      <c r="AL83" s="29">
        <f t="shared" si="739"/>
        <v>1176629.9999999998</v>
      </c>
      <c r="AM83" s="29">
        <f t="shared" si="739"/>
        <v>1251412.5000000002</v>
      </c>
      <c r="AN83" s="29">
        <f t="shared" si="739"/>
        <v>1389648.7499999998</v>
      </c>
      <c r="AO83" s="29">
        <f t="shared" si="739"/>
        <v>1409657.4999999998</v>
      </c>
      <c r="AP83" s="29">
        <f t="shared" si="739"/>
        <v>1486406.25</v>
      </c>
      <c r="AQ83" s="29">
        <f t="shared" si="739"/>
        <v>1546583.75</v>
      </c>
      <c r="AR83" s="29">
        <f t="shared" si="739"/>
        <v>1706906.25</v>
      </c>
      <c r="AS83" s="29">
        <f t="shared" si="739"/>
        <v>1729061.25</v>
      </c>
      <c r="AT83" s="29">
        <f t="shared" si="739"/>
        <v>1815648.75</v>
      </c>
      <c r="AU83" s="29">
        <f t="shared" si="739"/>
        <v>1856336.25</v>
      </c>
      <c r="AV83" s="29">
        <f t="shared" si="739"/>
        <v>2040301.2500000002</v>
      </c>
      <c r="AW83" s="29">
        <f t="shared" si="739"/>
        <v>2065226.2500000002</v>
      </c>
      <c r="AX83" s="29">
        <f t="shared" si="739"/>
        <v>2162651.25</v>
      </c>
      <c r="AY83" s="29">
        <f t="shared" si="739"/>
        <v>2182368.75</v>
      </c>
      <c r="AZ83" s="29">
        <f t="shared" si="739"/>
        <v>2391086.2500000005</v>
      </c>
      <c r="BA83" s="29">
        <f t="shared" si="739"/>
        <v>2418781.25</v>
      </c>
      <c r="BB83" s="29">
        <f t="shared" si="739"/>
        <v>2527413.75</v>
      </c>
      <c r="BC83" s="29">
        <f t="shared" si="739"/>
        <v>2430593.75</v>
      </c>
      <c r="BD83" s="29">
        <f t="shared" si="739"/>
        <v>2664873.75</v>
      </c>
      <c r="BE83" s="29">
        <f t="shared" si="739"/>
        <v>2694513.75</v>
      </c>
      <c r="BF83" s="29">
        <f t="shared" si="739"/>
        <v>2813898.7500000005</v>
      </c>
      <c r="BG83" s="1" t="s">
        <v>7</v>
      </c>
      <c r="BH83" s="30" t="s">
        <v>47</v>
      </c>
      <c r="BI83" s="185">
        <f t="shared" ref="BI83:BV83" si="740">SUMIF($C$4:$BF$4,BI$5,$C83:$BF83)</f>
        <v>37850</v>
      </c>
      <c r="BJ83" s="185">
        <f t="shared" si="740"/>
        <v>62550</v>
      </c>
      <c r="BK83" s="185">
        <f t="shared" si="740"/>
        <v>146220</v>
      </c>
      <c r="BL83" s="185">
        <f t="shared" si="740"/>
        <v>398085</v>
      </c>
      <c r="BM83" s="185">
        <f t="shared" si="740"/>
        <v>875260</v>
      </c>
      <c r="BN83" s="185">
        <f t="shared" si="740"/>
        <v>1518070.0000000002</v>
      </c>
      <c r="BO83" s="185">
        <f t="shared" si="740"/>
        <v>2322220</v>
      </c>
      <c r="BP83" s="185">
        <f t="shared" si="740"/>
        <v>3283540</v>
      </c>
      <c r="BQ83" s="185">
        <f t="shared" si="740"/>
        <v>4353662.5</v>
      </c>
      <c r="BR83" s="185">
        <f t="shared" si="740"/>
        <v>5537125</v>
      </c>
      <c r="BS83" s="185">
        <f t="shared" si="740"/>
        <v>6798200</v>
      </c>
      <c r="BT83" s="185">
        <f t="shared" si="740"/>
        <v>8124515</v>
      </c>
      <c r="BU83" s="185">
        <f t="shared" si="740"/>
        <v>9519650</v>
      </c>
      <c r="BV83" s="185">
        <f t="shared" si="740"/>
        <v>10603880</v>
      </c>
    </row>
    <row r="84" spans="2:74" ht="20.05" customHeight="1" x14ac:dyDescent="0.4">
      <c r="B84" s="34" t="s">
        <v>3</v>
      </c>
      <c r="C84" s="42"/>
      <c r="D84" s="36">
        <f>D83/C83-1</f>
        <v>0.40952380952380962</v>
      </c>
      <c r="E84" s="36">
        <f t="shared" ref="E84" si="741">E83/D83-1</f>
        <v>0.37162162162162171</v>
      </c>
      <c r="F84" s="36">
        <f t="shared" ref="F84" si="742">F83/E83-1</f>
        <v>0.48275862068965525</v>
      </c>
      <c r="G84" s="36">
        <f t="shared" ref="G84" si="743">G83/F83-1</f>
        <v>-0.20265780730897009</v>
      </c>
      <c r="H84" s="36">
        <f t="shared" ref="H84" si="744">H83/G83-1</f>
        <v>-3.7499999999999978E-2</v>
      </c>
      <c r="I84" s="36">
        <f t="shared" ref="I84" si="745">I83/H83-1</f>
        <v>0.30389610389610366</v>
      </c>
      <c r="J84" s="36">
        <f t="shared" ref="J84" si="746">J83/I83-1</f>
        <v>0.58964143426294813</v>
      </c>
      <c r="K84" s="36">
        <f t="shared" ref="K84" si="747">K83/J83-1</f>
        <v>-2.7568922305764243E-2</v>
      </c>
      <c r="L84" s="36">
        <f t="shared" ref="L84" si="748">L83/K83-1</f>
        <v>0.41752577319587636</v>
      </c>
      <c r="M84" s="80">
        <f t="shared" ref="M84" si="749">M83/L83-1</f>
        <v>0.1399999999999999</v>
      </c>
      <c r="N84" s="41">
        <f t="shared" ref="N84" si="750">N83/M83-1</f>
        <v>0.39074960127591685</v>
      </c>
      <c r="O84" s="41">
        <f t="shared" ref="O84" si="751">O83/N83-1</f>
        <v>0.38675458715596345</v>
      </c>
      <c r="P84" s="41">
        <f t="shared" ref="P84" si="752">P83/O83-1</f>
        <v>0.32292743436014049</v>
      </c>
      <c r="Q84" s="41">
        <f t="shared" ref="Q84" si="753">Q83/P83-1</f>
        <v>7.6418190342241177E-2</v>
      </c>
      <c r="R84" s="41">
        <f t="shared" ref="R84" si="754">R83/Q83-1</f>
        <v>0.22168989547038298</v>
      </c>
      <c r="S84" s="41">
        <f t="shared" ref="S84" si="755">S83/R83-1</f>
        <v>0.39084967320261477</v>
      </c>
      <c r="T84" s="41">
        <f t="shared" ref="T84" si="756">T83/S83-1</f>
        <v>0.2286967418546364</v>
      </c>
      <c r="U84" s="41">
        <f t="shared" ref="U84" si="757">U83/T83-1</f>
        <v>4.7656575958462843E-2</v>
      </c>
      <c r="V84" s="41">
        <f t="shared" ref="V84" si="758">V83/U83-1</f>
        <v>0.14164343555024561</v>
      </c>
      <c r="W84" s="41">
        <f t="shared" ref="W84" si="759">W83/V83-1</f>
        <v>0.23767441860465133</v>
      </c>
      <c r="X84" s="41">
        <f t="shared" ref="X84" si="760">X83/W83-1</f>
        <v>0.18245020668921463</v>
      </c>
      <c r="Y84" s="41">
        <f t="shared" ref="Y84" si="761">Y83/X83-1</f>
        <v>3.3290958207532251E-2</v>
      </c>
      <c r="Z84" s="41">
        <f t="shared" ref="Z84" si="762">Z83/Y83-1</f>
        <v>0.10475458157119033</v>
      </c>
      <c r="AA84" s="41">
        <f t="shared" ref="AA84" si="763">AA83/Z83-1</f>
        <v>0.16688320727576467</v>
      </c>
      <c r="AB84" s="41">
        <f t="shared" ref="AB84" si="764">AB83/AA83-1</f>
        <v>0.15359379660005956</v>
      </c>
      <c r="AC84" s="41">
        <f t="shared" ref="AC84" si="765">AC83/AB83-1</f>
        <v>2.5017235436056495E-2</v>
      </c>
      <c r="AD84" s="41">
        <f t="shared" ref="AD84" si="766">AD83/AC83-1</f>
        <v>8.3468552163641352E-2</v>
      </c>
      <c r="AE84" s="41">
        <f t="shared" ref="AE84" si="767">AE83/AD83-1</f>
        <v>0.12739095684832114</v>
      </c>
      <c r="AF84" s="41">
        <f t="shared" ref="AF84" si="768">AF83/AE83-1</f>
        <v>0.13252298882220148</v>
      </c>
      <c r="AG84" s="41">
        <f t="shared" ref="AG84" si="769">AG83/AF83-1</f>
        <v>1.9010343863572698E-2</v>
      </c>
      <c r="AH84" s="41">
        <f t="shared" ref="AH84" si="770">AH83/AG83-1</f>
        <v>6.881374127750961E-2</v>
      </c>
      <c r="AI84" s="41">
        <f t="shared" ref="AI84" si="771">AI83/AH83-1</f>
        <v>8.8458662559707246E-2</v>
      </c>
      <c r="AJ84" s="41">
        <f t="shared" ref="AJ84" si="772">AJ83/AI83-1</f>
        <v>0.11968338028457826</v>
      </c>
      <c r="AK84" s="41">
        <f t="shared" ref="AK84" si="773">AK83/AJ83-1</f>
        <v>1.61808741518088E-2</v>
      </c>
      <c r="AL84" s="41">
        <f t="shared" ref="AL84" si="774">AL83/AK83-1</f>
        <v>6.0313598269802648E-2</v>
      </c>
      <c r="AM84" s="41">
        <f t="shared" ref="AM84" si="775">AM83/AL83-1</f>
        <v>6.3556513092476452E-2</v>
      </c>
      <c r="AN84" s="41">
        <f t="shared" ref="AN84" si="776">AN83/AM83-1</f>
        <v>0.11046417548170528</v>
      </c>
      <c r="AO84" s="41">
        <f t="shared" ref="AO84" si="777">AO83/AN83-1</f>
        <v>1.4398422622982965E-2</v>
      </c>
      <c r="AP84" s="41">
        <f t="shared" ref="AP84" si="778">AP83/AO83-1</f>
        <v>5.4444962694839116E-2</v>
      </c>
      <c r="AQ84" s="41">
        <f t="shared" ref="AQ84" si="779">AQ83/AP83-1</f>
        <v>4.0485230736886368E-2</v>
      </c>
      <c r="AR84" s="41">
        <f t="shared" ref="AR84" si="780">AR83/AQ83-1</f>
        <v>0.10366234612254277</v>
      </c>
      <c r="AS84" s="41">
        <f t="shared" ref="AS84" si="781">AS83/AR83-1</f>
        <v>1.2979623221837766E-2</v>
      </c>
      <c r="AT84" s="41">
        <f t="shared" ref="AT84" si="782">AT83/AS83-1</f>
        <v>5.0077751727996889E-2</v>
      </c>
      <c r="AU84" s="41">
        <f t="shared" ref="AU84" si="783">AU83/AT83-1</f>
        <v>2.2409345419922122E-2</v>
      </c>
      <c r="AV84" s="41">
        <f t="shared" ref="AV84" si="784">AV83/AU83-1</f>
        <v>9.9101119207255728E-2</v>
      </c>
      <c r="AW84" s="41">
        <f t="shared" ref="AW84" si="785">AW83/AV83-1</f>
        <v>1.2216333249807976E-2</v>
      </c>
      <c r="AX84" s="41">
        <f t="shared" ref="AX84" si="786">AX83/AW83-1</f>
        <v>4.7174008174649007E-2</v>
      </c>
      <c r="AY84" s="41">
        <f t="shared" ref="AY84" si="787">AY83/AX83-1</f>
        <v>9.1172813924575991E-3</v>
      </c>
      <c r="AZ84" s="41">
        <f t="shared" ref="AZ84" si="788">AZ83/AY83-1</f>
        <v>9.563805383485291E-2</v>
      </c>
      <c r="BA84" s="41">
        <f t="shared" ref="BA84" si="789">BA83/AZ83-1</f>
        <v>1.158260184048121E-2</v>
      </c>
      <c r="BB84" s="41">
        <f t="shared" ref="BB84" si="790">BB83/BA83-1</f>
        <v>4.4912081239260493E-2</v>
      </c>
      <c r="BC84" s="41">
        <f t="shared" ref="BC84" si="791">BC83/BB83-1</f>
        <v>-3.8307934345929717E-2</v>
      </c>
      <c r="BD84" s="41">
        <f t="shared" ref="BD84" si="792">BD83/BC83-1</f>
        <v>9.6387971046169252E-2</v>
      </c>
      <c r="BE84" s="41">
        <f t="shared" ref="BE84" si="793">BE83/BD83-1</f>
        <v>1.1122478128654301E-2</v>
      </c>
      <c r="BF84" s="41">
        <f t="shared" ref="BF84" si="794">BF83/BE83-1</f>
        <v>4.4306695410257335E-2</v>
      </c>
      <c r="BG84" s="1" t="s">
        <v>7</v>
      </c>
      <c r="BH84" s="34" t="s">
        <v>3</v>
      </c>
      <c r="BI84" s="30"/>
      <c r="BJ84" s="30"/>
      <c r="BK84" s="197"/>
      <c r="BL84" s="30"/>
      <c r="BM84" s="30"/>
      <c r="BN84" s="30"/>
      <c r="BO84" s="30"/>
      <c r="BP84" s="30"/>
      <c r="BQ84" s="30"/>
      <c r="BR84" s="30"/>
      <c r="BS84" s="30"/>
      <c r="BT84" s="30"/>
      <c r="BU84" s="30"/>
      <c r="BV84" s="30"/>
    </row>
    <row r="85" spans="2:74" ht="20.05" customHeight="1" x14ac:dyDescent="0.4">
      <c r="B85" s="34" t="s">
        <v>4</v>
      </c>
      <c r="C85" s="30"/>
      <c r="D85" s="42"/>
      <c r="E85" s="42"/>
      <c r="F85" s="42"/>
      <c r="G85" s="35">
        <f>G83/C83-1</f>
        <v>1.2857142857142856</v>
      </c>
      <c r="H85" s="35">
        <f t="shared" ref="H85" si="795">H83/D83-1</f>
        <v>0.56081081081081074</v>
      </c>
      <c r="I85" s="35">
        <f t="shared" ref="I85" si="796">I83/E83-1</f>
        <v>0.48374384236453194</v>
      </c>
      <c r="J85" s="35">
        <f t="shared" ref="J85" si="797">J83/F83-1</f>
        <v>0.59069767441860432</v>
      </c>
      <c r="K85" s="35">
        <f t="shared" ref="K85" si="798">K83/G83-1</f>
        <v>0.94</v>
      </c>
      <c r="L85" s="35">
        <f t="shared" ref="L85" si="799">L83/H83-1</f>
        <v>1.8571428571428572</v>
      </c>
      <c r="M85" s="81">
        <f t="shared" ref="M85" si="800">M83/I83-1</f>
        <v>1.4980079681274905</v>
      </c>
      <c r="N85" s="40">
        <f t="shared" ref="N85" si="801">N83/J83-1</f>
        <v>1.1854636591478696</v>
      </c>
      <c r="O85" s="40">
        <f t="shared" ref="O85" si="802">O83/K83-1</f>
        <v>2.116623711340206</v>
      </c>
      <c r="P85" s="40">
        <f t="shared" ref="P85" si="803">P83/L83-1</f>
        <v>1.9086363636363637</v>
      </c>
      <c r="Q85" s="40">
        <f t="shared" ref="Q85" si="804">Q83/M83-1</f>
        <v>1.7464114832535889</v>
      </c>
      <c r="R85" s="40">
        <f t="shared" ref="R85" si="805">R83/N83-1</f>
        <v>1.4125573394495414</v>
      </c>
      <c r="S85" s="40">
        <f t="shared" ref="S85" si="806">S83/O83-1</f>
        <v>1.4196816208393637</v>
      </c>
      <c r="T85" s="40">
        <f t="shared" ref="T85" si="807">T83/P83-1</f>
        <v>1.2473303120279211</v>
      </c>
      <c r="U85" s="40">
        <f t="shared" ref="U85" si="808">U83/Q83-1</f>
        <v>1.1872822299651564</v>
      </c>
      <c r="V85" s="40">
        <f t="shared" ref="V85" si="809">V83/R83-1</f>
        <v>1.0439691027926323</v>
      </c>
      <c r="W85" s="40">
        <f t="shared" ref="W85" si="810">W83/S83-1</f>
        <v>0.81886534518113474</v>
      </c>
      <c r="X85" s="40">
        <f t="shared" ref="X85" si="811">X83/T83-1</f>
        <v>0.75040563719809028</v>
      </c>
      <c r="Y85" s="40">
        <f t="shared" ref="Y85" si="812">Y83/U83-1</f>
        <v>0.72640382317801699</v>
      </c>
      <c r="Z85" s="40">
        <f t="shared" ref="Z85" si="813">Z83/V83-1</f>
        <v>0.6706201550387596</v>
      </c>
      <c r="AA85" s="40">
        <f t="shared" ref="AA85" si="814">AA83/W83-1</f>
        <v>0.57506576475009386</v>
      </c>
      <c r="AB85" s="40">
        <f t="shared" ref="AB85" si="815">AB83/X83-1</f>
        <v>0.53662799936437278</v>
      </c>
      <c r="AC85" s="40">
        <f t="shared" ref="AC85" si="816">AC83/Y83-1</f>
        <v>0.52432397795719576</v>
      </c>
      <c r="AD85" s="40">
        <f t="shared" ref="AD85" si="817">AD83/Z83-1</f>
        <v>0.49495383044870311</v>
      </c>
      <c r="AE85" s="40">
        <f t="shared" ref="AE85" si="818">AE83/AA83-1</f>
        <v>0.44435828611193928</v>
      </c>
      <c r="AF85" s="40">
        <f t="shared" ref="AF85" si="819">AF83/AB83-1</f>
        <v>0.41797655980696313</v>
      </c>
      <c r="AG85" s="40">
        <f t="shared" ref="AG85" si="820">AG83/AC83-1</f>
        <v>0.40966681519719517</v>
      </c>
      <c r="AH85" s="40">
        <f t="shared" ref="AH85" si="821">AH83/AD83-1</f>
        <v>0.39059990222780927</v>
      </c>
      <c r="AI85" s="40">
        <f t="shared" ref="AI85" si="822">AI83/AE83-1</f>
        <v>0.34257818952700858</v>
      </c>
      <c r="AJ85" s="40">
        <f t="shared" ref="AJ85" si="823">AJ83/AF83-1</f>
        <v>0.32735714893461854</v>
      </c>
      <c r="AK85" s="40">
        <f t="shared" ref="AK85" si="824">AK83/AG83-1</f>
        <v>0.32367149758454095</v>
      </c>
      <c r="AL85" s="40">
        <f t="shared" ref="AL85" si="825">AL83/AH83-1</f>
        <v>0.31314450247756764</v>
      </c>
      <c r="AM85" s="40">
        <f t="shared" ref="AM85" si="826">AM83/AI83-1</f>
        <v>0.28310190940759417</v>
      </c>
      <c r="AN85" s="40">
        <f t="shared" ref="AN85" si="827">AN83/AJ83-1</f>
        <v>0.27253715557264879</v>
      </c>
      <c r="AO85" s="40">
        <f t="shared" ref="AO85" si="828">AO83/AK83-1</f>
        <v>0.2703050373974949</v>
      </c>
      <c r="AP85" s="40">
        <f t="shared" ref="AP85" si="829">AP83/AL83-1</f>
        <v>0.26327413885418549</v>
      </c>
      <c r="AQ85" s="40">
        <f t="shared" ref="AQ85" si="830">AQ83/AM83-1</f>
        <v>0.23587046637299824</v>
      </c>
      <c r="AR85" s="40">
        <f t="shared" ref="AR85" si="831">AR83/AN83-1</f>
        <v>0.22830049679820186</v>
      </c>
      <c r="AS85" s="40">
        <f t="shared" ref="AS85" si="832">AS83/AO83-1</f>
        <v>0.22658252093150311</v>
      </c>
      <c r="AT85" s="40">
        <f t="shared" ref="AT85" si="833">AT83/AP83-1</f>
        <v>0.2215023651844843</v>
      </c>
      <c r="AU85" s="40">
        <f t="shared" ref="AU85" si="834">AU83/AQ83-1</f>
        <v>0.20028175001838733</v>
      </c>
      <c r="AV85" s="40">
        <f t="shared" ref="AV85" si="835">AV83/AR83-1</f>
        <v>0.19532121345270137</v>
      </c>
      <c r="AW85" s="40">
        <f t="shared" ref="AW85" si="836">AW83/AS83-1</f>
        <v>0.19442052732371407</v>
      </c>
      <c r="AX85" s="40">
        <f t="shared" ref="AX85" si="837">AX83/AT83-1</f>
        <v>0.19111763770387857</v>
      </c>
      <c r="AY85" s="40">
        <f t="shared" ref="AY85" si="838">AY83/AU83-1</f>
        <v>0.17563224335030903</v>
      </c>
      <c r="AZ85" s="40">
        <f t="shared" ref="AZ85" si="839">AZ83/AV83-1</f>
        <v>0.17192804248882365</v>
      </c>
      <c r="BA85" s="40">
        <f t="shared" ref="BA85" si="840">BA83/AW83-1</f>
        <v>0.17119431829805554</v>
      </c>
      <c r="BB85" s="40">
        <f t="shared" ref="BB85" si="841">BB83/AX83-1</f>
        <v>0.16866450381216103</v>
      </c>
      <c r="BC85" s="40">
        <f t="shared" ref="BC85" si="842">BC83/AY83-1</f>
        <v>0.11374108981353404</v>
      </c>
      <c r="BD85" s="40">
        <f t="shared" ref="BD85" si="843">BD83/AZ83-1</f>
        <v>0.11450339777580143</v>
      </c>
      <c r="BE85" s="40">
        <f t="shared" ref="BE85" si="844">BE83/BA83-1</f>
        <v>0.11399645999405683</v>
      </c>
      <c r="BF85" s="40">
        <f t="shared" ref="BF85" si="845">BF83/BB83-1</f>
        <v>0.11335104907140758</v>
      </c>
      <c r="BG85" s="1" t="s">
        <v>7</v>
      </c>
      <c r="BH85" s="34" t="s">
        <v>4</v>
      </c>
      <c r="BI85" s="30"/>
      <c r="BJ85" s="196">
        <f>BJ83/BI83-1</f>
        <v>0.65257595772787313</v>
      </c>
      <c r="BK85" s="196">
        <f t="shared" ref="BK85:BV85" si="846">BK83/BJ83-1</f>
        <v>1.3376498800959231</v>
      </c>
      <c r="BL85" s="196">
        <f t="shared" si="846"/>
        <v>1.7225071809601968</v>
      </c>
      <c r="BM85" s="196">
        <f t="shared" si="846"/>
        <v>1.198676162126179</v>
      </c>
      <c r="BN85" s="196">
        <f t="shared" si="846"/>
        <v>0.7344217718163748</v>
      </c>
      <c r="BO85" s="196">
        <f t="shared" si="846"/>
        <v>0.52971865592495715</v>
      </c>
      <c r="BP85" s="196">
        <f t="shared" si="846"/>
        <v>0.41396594637889605</v>
      </c>
      <c r="BQ85" s="196">
        <f t="shared" si="846"/>
        <v>0.32590512069291067</v>
      </c>
      <c r="BR85" s="196">
        <f t="shared" si="846"/>
        <v>0.27183147522344697</v>
      </c>
      <c r="BS85" s="196">
        <f t="shared" si="846"/>
        <v>0.22774905749825036</v>
      </c>
      <c r="BT85" s="196">
        <f t="shared" si="846"/>
        <v>0.19509796710894056</v>
      </c>
      <c r="BU85" s="196">
        <f t="shared" si="846"/>
        <v>0.17171917339065779</v>
      </c>
      <c r="BV85" s="196">
        <f t="shared" si="846"/>
        <v>0.1138938931578366</v>
      </c>
    </row>
    <row r="86" spans="2:74" ht="20.05" customHeight="1" x14ac:dyDescent="0.4">
      <c r="B86" s="30" t="s">
        <v>53</v>
      </c>
      <c r="C86" s="42">
        <f>C80+C83</f>
        <v>85479.999999999985</v>
      </c>
      <c r="D86" s="42">
        <f t="shared" ref="D86:L86" si="847">D80+D83</f>
        <v>103960</v>
      </c>
      <c r="E86" s="42">
        <f t="shared" si="847"/>
        <v>122630</v>
      </c>
      <c r="F86" s="42">
        <f t="shared" si="847"/>
        <v>179970</v>
      </c>
      <c r="G86" s="42">
        <f t="shared" si="847"/>
        <v>139200</v>
      </c>
      <c r="H86" s="42">
        <f t="shared" si="847"/>
        <v>160050</v>
      </c>
      <c r="I86" s="42">
        <f t="shared" si="847"/>
        <v>201460</v>
      </c>
      <c r="J86" s="42">
        <f t="shared" si="847"/>
        <v>283060</v>
      </c>
      <c r="K86" s="42">
        <f t="shared" si="847"/>
        <v>214530</v>
      </c>
      <c r="L86" s="42">
        <f t="shared" si="847"/>
        <v>271000</v>
      </c>
      <c r="M86" s="54">
        <f t="shared" ref="M86:BF86" si="848">M80+M83</f>
        <v>323190</v>
      </c>
      <c r="N86" s="28">
        <f t="shared" si="848"/>
        <v>426420</v>
      </c>
      <c r="O86" s="28">
        <f t="shared" si="848"/>
        <v>332920</v>
      </c>
      <c r="P86" s="28">
        <f t="shared" si="848"/>
        <v>417765</v>
      </c>
      <c r="Q86" s="28">
        <f t="shared" si="848"/>
        <v>490470.00000000006</v>
      </c>
      <c r="R86" s="28">
        <f t="shared" si="848"/>
        <v>619725</v>
      </c>
      <c r="S86" s="28">
        <f t="shared" si="848"/>
        <v>511720</v>
      </c>
      <c r="T86" s="28">
        <f t="shared" si="848"/>
        <v>628430</v>
      </c>
      <c r="U86" s="28">
        <f t="shared" si="848"/>
        <v>722475</v>
      </c>
      <c r="V86" s="28">
        <f t="shared" si="848"/>
        <v>879220</v>
      </c>
      <c r="W86" s="28">
        <f t="shared" si="848"/>
        <v>735942.5</v>
      </c>
      <c r="X86" s="28">
        <f t="shared" si="848"/>
        <v>886387.5</v>
      </c>
      <c r="Y86" s="28">
        <f t="shared" si="848"/>
        <v>1001700</v>
      </c>
      <c r="Z86" s="28">
        <f t="shared" si="848"/>
        <v>1186242.5</v>
      </c>
      <c r="AA86" s="28">
        <f t="shared" si="848"/>
        <v>1002540</v>
      </c>
      <c r="AB86" s="28">
        <f t="shared" si="848"/>
        <v>1188080</v>
      </c>
      <c r="AC86" s="28">
        <f t="shared" si="848"/>
        <v>1324885</v>
      </c>
      <c r="AD86" s="28">
        <f t="shared" si="848"/>
        <v>1537675</v>
      </c>
      <c r="AE86" s="28">
        <f t="shared" si="848"/>
        <v>1302252.5</v>
      </c>
      <c r="AF86" s="28">
        <f t="shared" si="848"/>
        <v>1523397.5</v>
      </c>
      <c r="AG86" s="28">
        <f t="shared" si="848"/>
        <v>1681395</v>
      </c>
      <c r="AH86" s="28">
        <f t="shared" si="848"/>
        <v>1922202.5</v>
      </c>
      <c r="AI86" s="28">
        <f t="shared" si="848"/>
        <v>1620142.5</v>
      </c>
      <c r="AJ86" s="28">
        <f t="shared" si="848"/>
        <v>1878810</v>
      </c>
      <c r="AK86" s="28">
        <f t="shared" si="848"/>
        <v>2059424.9999999998</v>
      </c>
      <c r="AL86" s="28">
        <f t="shared" si="848"/>
        <v>2329930</v>
      </c>
      <c r="AM86" s="28">
        <f t="shared" si="848"/>
        <v>1952860.0000000002</v>
      </c>
      <c r="AN86" s="28">
        <f t="shared" si="848"/>
        <v>2250581.2499999995</v>
      </c>
      <c r="AO86" s="28">
        <f t="shared" si="848"/>
        <v>2454617.5</v>
      </c>
      <c r="AP86" s="28">
        <f t="shared" si="848"/>
        <v>2755863.75</v>
      </c>
      <c r="AQ86" s="28">
        <f t="shared" si="848"/>
        <v>2291543.75</v>
      </c>
      <c r="AR86" s="28">
        <f t="shared" si="848"/>
        <v>2629376.25</v>
      </c>
      <c r="AS86" s="28">
        <f t="shared" si="848"/>
        <v>2857136.25</v>
      </c>
      <c r="AT86" s="28">
        <f t="shared" si="848"/>
        <v>3189608.75</v>
      </c>
      <c r="AU86" s="28">
        <f t="shared" si="848"/>
        <v>2631038.75</v>
      </c>
      <c r="AV86" s="28">
        <f t="shared" si="848"/>
        <v>3011018.75</v>
      </c>
      <c r="AW86" s="28">
        <f t="shared" si="848"/>
        <v>3263621.2500000005</v>
      </c>
      <c r="AX86" s="28">
        <f t="shared" si="848"/>
        <v>3628783.75</v>
      </c>
      <c r="AY86" s="28">
        <f t="shared" si="848"/>
        <v>2972368.75</v>
      </c>
      <c r="AZ86" s="28">
        <f t="shared" si="848"/>
        <v>3396086.2500000005</v>
      </c>
      <c r="BA86" s="28">
        <f t="shared" si="848"/>
        <v>3674026.25</v>
      </c>
      <c r="BB86" s="28">
        <f t="shared" si="848"/>
        <v>4072713.75</v>
      </c>
      <c r="BC86" s="28">
        <f t="shared" si="848"/>
        <v>3220771.25</v>
      </c>
      <c r="BD86" s="28">
        <f t="shared" si="848"/>
        <v>3689516.25</v>
      </c>
      <c r="BE86" s="28">
        <f t="shared" si="848"/>
        <v>3992463.75</v>
      </c>
      <c r="BF86" s="28">
        <f t="shared" si="848"/>
        <v>4424686.25</v>
      </c>
      <c r="BG86" s="1" t="s">
        <v>7</v>
      </c>
      <c r="BH86" s="30" t="s">
        <v>53</v>
      </c>
      <c r="BI86" s="185">
        <f t="shared" ref="BI86:BV86" si="849">SUMIF($C$4:$BF$4,BI$5,$C86:$BF86)</f>
        <v>492040</v>
      </c>
      <c r="BJ86" s="185">
        <f t="shared" si="849"/>
        <v>783770</v>
      </c>
      <c r="BK86" s="185">
        <f t="shared" si="849"/>
        <v>1235140</v>
      </c>
      <c r="BL86" s="185">
        <f t="shared" si="849"/>
        <v>1860880</v>
      </c>
      <c r="BM86" s="185">
        <f t="shared" si="849"/>
        <v>2741845</v>
      </c>
      <c r="BN86" s="185">
        <f t="shared" si="849"/>
        <v>3810272.5</v>
      </c>
      <c r="BO86" s="185">
        <f t="shared" si="849"/>
        <v>5053180</v>
      </c>
      <c r="BP86" s="185">
        <f t="shared" si="849"/>
        <v>6429247.5</v>
      </c>
      <c r="BQ86" s="185">
        <f t="shared" si="849"/>
        <v>7888307.5</v>
      </c>
      <c r="BR86" s="185">
        <f t="shared" si="849"/>
        <v>9413922.5</v>
      </c>
      <c r="BS86" s="185">
        <f t="shared" si="849"/>
        <v>10967665</v>
      </c>
      <c r="BT86" s="185">
        <f t="shared" si="849"/>
        <v>12534462.5</v>
      </c>
      <c r="BU86" s="185">
        <f t="shared" si="849"/>
        <v>14115195</v>
      </c>
      <c r="BV86" s="185">
        <f t="shared" si="849"/>
        <v>15327437.5</v>
      </c>
    </row>
    <row r="87" spans="2:74" ht="20.05" customHeight="1" x14ac:dyDescent="0.4">
      <c r="B87" s="34" t="s">
        <v>3</v>
      </c>
      <c r="C87" s="30"/>
      <c r="D87" s="36">
        <f>D86/C86-1</f>
        <v>0.21619092185306532</v>
      </c>
      <c r="E87" s="36">
        <f t="shared" ref="E87" si="850">E86/D86-1</f>
        <v>0.17958830319353591</v>
      </c>
      <c r="F87" s="36">
        <f t="shared" ref="F87" si="851">F86/E86-1</f>
        <v>0.46758541955475819</v>
      </c>
      <c r="G87" s="36">
        <f t="shared" ref="G87" si="852">G86/F86-1</f>
        <v>-0.22653775629271544</v>
      </c>
      <c r="H87" s="36">
        <f t="shared" ref="H87" si="853">H86/G86-1</f>
        <v>0.14978448275862077</v>
      </c>
      <c r="I87" s="36">
        <f t="shared" ref="I87" si="854">I86/H86-1</f>
        <v>0.25873164636051227</v>
      </c>
      <c r="J87" s="36">
        <f t="shared" ref="J87" si="855">J86/I86-1</f>
        <v>0.4050431847513154</v>
      </c>
      <c r="K87" s="36">
        <f t="shared" ref="K87" si="856">K86/J86-1</f>
        <v>-0.24210414753055887</v>
      </c>
      <c r="L87" s="36">
        <f t="shared" ref="L87" si="857">L86/K86-1</f>
        <v>0.26322658835594082</v>
      </c>
      <c r="M87" s="80">
        <f t="shared" ref="M87" si="858">M86/L86-1</f>
        <v>0.19258302583025833</v>
      </c>
      <c r="N87" s="41">
        <f t="shared" ref="N87" si="859">N86/M86-1</f>
        <v>0.31940963519910892</v>
      </c>
      <c r="O87" s="41">
        <f t="shared" ref="O87" si="860">O86/N86-1</f>
        <v>-0.21926738895924203</v>
      </c>
      <c r="P87" s="41">
        <f t="shared" ref="P87" si="861">P86/O86-1</f>
        <v>0.25485101525892095</v>
      </c>
      <c r="Q87" s="41">
        <f t="shared" ref="Q87" si="862">Q86/P86-1</f>
        <v>0.17403324835733014</v>
      </c>
      <c r="R87" s="41">
        <f t="shared" ref="R87" si="863">R86/Q86-1</f>
        <v>0.26353293779436027</v>
      </c>
      <c r="S87" s="41">
        <f t="shared" ref="S87" si="864">S86/R86-1</f>
        <v>-0.17427891403445073</v>
      </c>
      <c r="T87" s="41">
        <f t="shared" ref="T87" si="865">T86/S86-1</f>
        <v>0.2280739466895958</v>
      </c>
      <c r="U87" s="41">
        <f t="shared" ref="U87" si="866">U86/T86-1</f>
        <v>0.14965071686584031</v>
      </c>
      <c r="V87" s="41">
        <f t="shared" ref="V87" si="867">V86/U86-1</f>
        <v>0.21695560400013836</v>
      </c>
      <c r="W87" s="41">
        <f t="shared" ref="W87" si="868">W86/V86-1</f>
        <v>-0.16295978253451926</v>
      </c>
      <c r="X87" s="41">
        <f t="shared" ref="X87" si="869">X86/W86-1</f>
        <v>0.20442493808959261</v>
      </c>
      <c r="Y87" s="41">
        <f t="shared" ref="Y87" si="870">Y86/X86-1</f>
        <v>0.13009265135169445</v>
      </c>
      <c r="Z87" s="41">
        <f t="shared" ref="Z87" si="871">Z86/Y86-1</f>
        <v>0.18422931017270638</v>
      </c>
      <c r="AA87" s="41">
        <f t="shared" ref="AA87" si="872">AA86/Z86-1</f>
        <v>-0.15486083157533137</v>
      </c>
      <c r="AB87" s="41">
        <f t="shared" ref="AB87" si="873">AB86/AA86-1</f>
        <v>0.18506992239711129</v>
      </c>
      <c r="AC87" s="41">
        <f t="shared" ref="AC87" si="874">AC86/AB86-1</f>
        <v>0.11514796983368125</v>
      </c>
      <c r="AD87" s="41">
        <f t="shared" ref="AD87" si="875">AD86/AC86-1</f>
        <v>0.16061016616536539</v>
      </c>
      <c r="AE87" s="41">
        <f t="shared" ref="AE87" si="876">AE86/AD86-1</f>
        <v>-0.15310289885704065</v>
      </c>
      <c r="AF87" s="41">
        <f t="shared" ref="AF87" si="877">AF86/AE86-1</f>
        <v>0.16981729733673001</v>
      </c>
      <c r="AG87" s="41">
        <f t="shared" ref="AG87" si="878">AG86/AF86-1</f>
        <v>0.10371390264195646</v>
      </c>
      <c r="AH87" s="41">
        <f t="shared" ref="AH87" si="879">AH86/AG86-1</f>
        <v>0.14321887480336271</v>
      </c>
      <c r="AI87" s="41">
        <f t="shared" ref="AI87" si="880">AI86/AH86-1</f>
        <v>-0.15714265276421191</v>
      </c>
      <c r="AJ87" s="41">
        <f t="shared" ref="AJ87" si="881">AJ86/AI86-1</f>
        <v>0.15965725237131911</v>
      </c>
      <c r="AK87" s="41">
        <f t="shared" ref="AK87" si="882">AK86/AJ86-1</f>
        <v>9.6132658438053742E-2</v>
      </c>
      <c r="AL87" s="41">
        <f t="shared" ref="AL87" si="883">AL86/AK86-1</f>
        <v>0.13134976996006187</v>
      </c>
      <c r="AM87" s="41">
        <f t="shared" ref="AM87" si="884">AM86/AL86-1</f>
        <v>-0.16183748009596843</v>
      </c>
      <c r="AN87" s="41">
        <f t="shared" ref="AN87" si="885">AN86/AM86-1</f>
        <v>0.15245396495396468</v>
      </c>
      <c r="AO87" s="41">
        <f t="shared" ref="AO87" si="886">AO86/AN86-1</f>
        <v>9.0659357443771738E-2</v>
      </c>
      <c r="AP87" s="41">
        <f t="shared" ref="AP87" si="887">AP86/AO86-1</f>
        <v>0.12272635145801747</v>
      </c>
      <c r="AQ87" s="41">
        <f t="shared" ref="AQ87" si="888">AQ86/AP86-1</f>
        <v>-0.16848438171154145</v>
      </c>
      <c r="AR87" s="41">
        <f t="shared" ref="AR87" si="889">AR86/AQ86-1</f>
        <v>0.14742572556164379</v>
      </c>
      <c r="AS87" s="41">
        <f t="shared" ref="AS87" si="890">AS86/AR86-1</f>
        <v>8.6621304197145532E-2</v>
      </c>
      <c r="AT87" s="41">
        <f t="shared" ref="AT87" si="891">AT86/AS86-1</f>
        <v>0.11636564409555206</v>
      </c>
      <c r="AU87" s="41">
        <f t="shared" ref="AU87" si="892">AU86/AT86-1</f>
        <v>-0.17512179197526967</v>
      </c>
      <c r="AV87" s="41">
        <f t="shared" ref="AV87" si="893">AV86/AU86-1</f>
        <v>0.144422046235541</v>
      </c>
      <c r="AW87" s="41">
        <f t="shared" ref="AW87" si="894">AW86/AV86-1</f>
        <v>8.3892702428372656E-2</v>
      </c>
      <c r="AX87" s="41">
        <f t="shared" ref="AX87" si="895">AX86/AW86-1</f>
        <v>0.11188874934553139</v>
      </c>
      <c r="AY87" s="41">
        <f t="shared" ref="AY87" si="896">AY86/AX86-1</f>
        <v>-0.18089118702650719</v>
      </c>
      <c r="AZ87" s="41">
        <f t="shared" ref="AZ87" si="897">AZ86/AY86-1</f>
        <v>0.14255213119166332</v>
      </c>
      <c r="BA87" s="41">
        <f t="shared" ref="BA87" si="898">BA86/AZ86-1</f>
        <v>8.1841266546160085E-2</v>
      </c>
      <c r="BB87" s="41">
        <f t="shared" ref="BB87" si="899">BB86/BA86-1</f>
        <v>0.10851514738088763</v>
      </c>
      <c r="BC87" s="41">
        <f t="shared" ref="BC87" si="900">BC86/BB86-1</f>
        <v>-0.20918300482080288</v>
      </c>
      <c r="BD87" s="41">
        <f t="shared" ref="BD87" si="901">BD86/BC86-1</f>
        <v>0.14553812227428442</v>
      </c>
      <c r="BE87" s="41">
        <f t="shared" ref="BE87" si="902">BE86/BD86-1</f>
        <v>8.2110357963594893E-2</v>
      </c>
      <c r="BF87" s="41">
        <f t="shared" ref="BF87" si="903">BF86/BE86-1</f>
        <v>0.10825959283913344</v>
      </c>
      <c r="BG87" s="1" t="s">
        <v>7</v>
      </c>
      <c r="BH87" s="34" t="s">
        <v>3</v>
      </c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</row>
    <row r="88" spans="2:74" ht="20.05" customHeight="1" x14ac:dyDescent="0.4">
      <c r="B88" s="34" t="s">
        <v>4</v>
      </c>
      <c r="C88" s="30"/>
      <c r="D88" s="42"/>
      <c r="E88" s="42"/>
      <c r="F88" s="42"/>
      <c r="G88" s="35">
        <f>G86/C86-1</f>
        <v>0.62845109967243817</v>
      </c>
      <c r="H88" s="35">
        <f t="shared" ref="H88" si="904">H86/D86-1</f>
        <v>0.53953443632166209</v>
      </c>
      <c r="I88" s="35">
        <f t="shared" ref="I88" si="905">I86/E86-1</f>
        <v>0.64282801924488298</v>
      </c>
      <c r="J88" s="35">
        <f t="shared" ref="J88" si="906">J86/F86-1</f>
        <v>0.57281769183752851</v>
      </c>
      <c r="K88" s="35">
        <f t="shared" ref="K88" si="907">K86/G86-1</f>
        <v>0.54116379310344831</v>
      </c>
      <c r="L88" s="35">
        <f t="shared" ref="L88" si="908">L86/H86-1</f>
        <v>0.69322086847860054</v>
      </c>
      <c r="M88" s="81">
        <f t="shared" ref="M88" si="909">M86/I86-1</f>
        <v>0.60423905489923557</v>
      </c>
      <c r="N88" s="40">
        <f t="shared" ref="N88" si="910">N86/J86-1</f>
        <v>0.50646506041122019</v>
      </c>
      <c r="O88" s="40">
        <f t="shared" ref="O88" si="911">O86/K86-1</f>
        <v>0.55185754906073736</v>
      </c>
      <c r="P88" s="40">
        <f t="shared" ref="P88" si="912">P86/L86-1</f>
        <v>0.54156826568265681</v>
      </c>
      <c r="Q88" s="40">
        <f t="shared" ref="Q88" si="913">Q86/M86-1</f>
        <v>0.51759027197623708</v>
      </c>
      <c r="R88" s="40">
        <f t="shared" ref="R88" si="914">R86/N86-1</f>
        <v>0.45332066976220631</v>
      </c>
      <c r="S88" s="40">
        <f t="shared" ref="S88" si="915">S86/O86-1</f>
        <v>0.53706596179262278</v>
      </c>
      <c r="T88" s="40">
        <f t="shared" ref="T88" si="916">T86/P86-1</f>
        <v>0.50426675283951505</v>
      </c>
      <c r="U88" s="40">
        <f t="shared" ref="U88" si="917">U86/Q86-1</f>
        <v>0.47302587314208799</v>
      </c>
      <c r="V88" s="40">
        <f t="shared" ref="V88" si="918">V86/R86-1</f>
        <v>0.41872604784380174</v>
      </c>
      <c r="W88" s="40">
        <f t="shared" ref="W88" si="919">W86/S86-1</f>
        <v>0.43817419682638947</v>
      </c>
      <c r="X88" s="40">
        <f t="shared" ref="X88" si="920">X86/T86-1</f>
        <v>0.4104792896583549</v>
      </c>
      <c r="Y88" s="40">
        <f t="shared" ref="Y88" si="921">Y86/U86-1</f>
        <v>0.38648396138274688</v>
      </c>
      <c r="Z88" s="40">
        <f t="shared" ref="Z88" si="922">Z86/V86-1</f>
        <v>0.34919872159414034</v>
      </c>
      <c r="AA88" s="40">
        <f t="shared" ref="AA88" si="923">AA86/W86-1</f>
        <v>0.36225316515896289</v>
      </c>
      <c r="AB88" s="40">
        <f t="shared" ref="AB88" si="924">AB86/X86-1</f>
        <v>0.34036186205243202</v>
      </c>
      <c r="AC88" s="40">
        <f t="shared" ref="AC88" si="925">AC86/Y86-1</f>
        <v>0.32263651791953674</v>
      </c>
      <c r="AD88" s="40">
        <f t="shared" ref="AD88" si="926">AD86/Z86-1</f>
        <v>0.29625687833642789</v>
      </c>
      <c r="AE88" s="40">
        <f t="shared" ref="AE88" si="927">AE86/AA86-1</f>
        <v>0.29895315897620045</v>
      </c>
      <c r="AF88" s="40">
        <f t="shared" ref="AF88" si="928">AF86/AB86-1</f>
        <v>0.28223478216955078</v>
      </c>
      <c r="AG88" s="40">
        <f t="shared" ref="AG88" si="929">AG86/AC86-1</f>
        <v>0.26908750570804263</v>
      </c>
      <c r="AH88" s="40">
        <f t="shared" ref="AH88" si="930">AH86/AD86-1</f>
        <v>0.25007072365746996</v>
      </c>
      <c r="AI88" s="40">
        <f t="shared" ref="AI88" si="931">AI86/AE86-1</f>
        <v>0.24410780551390765</v>
      </c>
      <c r="AJ88" s="40">
        <f t="shared" ref="AJ88" si="932">AJ86/AF86-1</f>
        <v>0.23330253594350792</v>
      </c>
      <c r="AK88" s="40">
        <f t="shared" ref="AK88" si="933">AK86/AG86-1</f>
        <v>0.22483116697742034</v>
      </c>
      <c r="AL88" s="40">
        <f t="shared" ref="AL88" si="934">AL86/AH86-1</f>
        <v>0.21211474857617763</v>
      </c>
      <c r="AM88" s="40">
        <f t="shared" ref="AM88" si="935">AM86/AI86-1</f>
        <v>0.20536310849200001</v>
      </c>
      <c r="AN88" s="40">
        <f t="shared" ref="AN88" si="936">AN86/AJ86-1</f>
        <v>0.19787591613840649</v>
      </c>
      <c r="AO88" s="40">
        <f t="shared" ref="AO88" si="937">AO86/AK86-1</f>
        <v>0.19189458222562128</v>
      </c>
      <c r="AP88" s="40">
        <f t="shared" ref="AP88" si="938">AP86/AL86-1</f>
        <v>0.18280967668556558</v>
      </c>
      <c r="AQ88" s="40">
        <f t="shared" ref="AQ88" si="939">AQ86/AM86-1</f>
        <v>0.17342961092961073</v>
      </c>
      <c r="AR88" s="40">
        <f t="shared" ref="AR88" si="940">AR86/AN86-1</f>
        <v>0.16830985328790082</v>
      </c>
      <c r="AS88" s="40">
        <f t="shared" ref="AS88" si="941">AS86/AO86-1</f>
        <v>0.16398430712728151</v>
      </c>
      <c r="AT88" s="40">
        <f t="shared" ref="AT88" si="942">AT86/AP86-1</f>
        <v>0.15738985644700332</v>
      </c>
      <c r="AU88" s="40">
        <f t="shared" ref="AU88" si="943">AU86/AQ86-1</f>
        <v>0.14815121901992923</v>
      </c>
      <c r="AV88" s="40">
        <f t="shared" ref="AV88" si="944">AV86/AR86-1</f>
        <v>0.14514564052976442</v>
      </c>
      <c r="AW88" s="40">
        <f t="shared" ref="AW88" si="945">AW86/AS86-1</f>
        <v>0.1422700789995579</v>
      </c>
      <c r="AX88" s="40">
        <f t="shared" ref="AX88" si="946">AX86/AT86-1</f>
        <v>0.13768930123483014</v>
      </c>
      <c r="AY88" s="40">
        <f t="shared" ref="AY88" si="947">AY86/AU86-1</f>
        <v>0.12973203074261064</v>
      </c>
      <c r="AZ88" s="40">
        <f t="shared" ref="AZ88" si="948">AZ86/AV86-1</f>
        <v>0.12788611827807461</v>
      </c>
      <c r="BA88" s="40">
        <f t="shared" ref="BA88" si="949">BA86/AW86-1</f>
        <v>0.12575141799925449</v>
      </c>
      <c r="BB88" s="40">
        <f t="shared" ref="BB88" si="950">BB86/AX86-1</f>
        <v>0.12233575505842698</v>
      </c>
      <c r="BC88" s="40">
        <f t="shared" ref="BC88" si="951">BC86/AY86-1</f>
        <v>8.3570552947039189E-2</v>
      </c>
      <c r="BD88" s="40">
        <f t="shared" ref="BD88" si="952">BD86/AZ86-1</f>
        <v>8.640239923235149E-2</v>
      </c>
      <c r="BE88" s="40">
        <f t="shared" ref="BE88" si="953">BE86/BA86-1</f>
        <v>8.667262516156482E-2</v>
      </c>
      <c r="BF88" s="40">
        <f t="shared" ref="BF88" si="954">BF86/BB86-1</f>
        <v>8.6422106144827815E-2</v>
      </c>
      <c r="BG88" s="1" t="s">
        <v>7</v>
      </c>
      <c r="BH88" s="34" t="s">
        <v>4</v>
      </c>
      <c r="BI88" s="30"/>
      <c r="BJ88" s="196">
        <f>BJ86/BI86-1</f>
        <v>0.59289895130477199</v>
      </c>
      <c r="BK88" s="196">
        <f t="shared" ref="BK88:BV88" si="955">BK86/BJ86-1</f>
        <v>0.57589598989499469</v>
      </c>
      <c r="BL88" s="196">
        <f t="shared" si="955"/>
        <v>0.50661463477824387</v>
      </c>
      <c r="BM88" s="196">
        <f t="shared" si="955"/>
        <v>0.47341311637504835</v>
      </c>
      <c r="BN88" s="196">
        <f t="shared" si="955"/>
        <v>0.38967465338120855</v>
      </c>
      <c r="BO88" s="196">
        <f t="shared" si="955"/>
        <v>0.32619911043107819</v>
      </c>
      <c r="BP88" s="196">
        <f t="shared" si="955"/>
        <v>0.27231713495264365</v>
      </c>
      <c r="BQ88" s="196">
        <f t="shared" si="955"/>
        <v>0.22694102225804813</v>
      </c>
      <c r="BR88" s="196">
        <f t="shared" si="955"/>
        <v>0.19340207008917942</v>
      </c>
      <c r="BS88" s="196">
        <f t="shared" si="955"/>
        <v>0.16504730095239251</v>
      </c>
      <c r="BT88" s="196">
        <f t="shared" si="955"/>
        <v>0.14285606826977304</v>
      </c>
      <c r="BU88" s="196">
        <f t="shared" si="955"/>
        <v>0.12611091221502324</v>
      </c>
      <c r="BV88" s="196">
        <f t="shared" si="955"/>
        <v>8.5882093729487963E-2</v>
      </c>
    </row>
    <row r="89" spans="2:74" ht="20.05" customHeight="1" x14ac:dyDescent="0.4">
      <c r="C89" s="2"/>
      <c r="D89" s="2"/>
      <c r="E89" s="2"/>
      <c r="F89" s="2"/>
      <c r="G89" s="2"/>
      <c r="H89" s="2"/>
      <c r="I89" s="2"/>
      <c r="J89" s="2"/>
      <c r="K89" s="2"/>
      <c r="L89" s="2"/>
      <c r="M89" s="53"/>
      <c r="BG89" s="1" t="s">
        <v>7</v>
      </c>
    </row>
    <row r="90" spans="2:74" ht="20.05" customHeight="1" x14ac:dyDescent="0.4">
      <c r="B90" s="200" t="s">
        <v>57</v>
      </c>
      <c r="C90" s="207">
        <f t="shared" ref="C90:L90" si="956">C12</f>
        <v>0.37468001213224145</v>
      </c>
      <c r="D90" s="207">
        <f t="shared" si="956"/>
        <v>0.6441045012261688</v>
      </c>
      <c r="E90" s="207">
        <f t="shared" si="956"/>
        <v>0.63384302260398606</v>
      </c>
      <c r="F90" s="207">
        <f t="shared" si="956"/>
        <v>0.71920898088216634</v>
      </c>
      <c r="G90" s="207">
        <f t="shared" si="956"/>
        <v>0.60677989326958948</v>
      </c>
      <c r="H90" s="207">
        <f t="shared" si="956"/>
        <v>0.6403419524542161</v>
      </c>
      <c r="I90" s="207">
        <f t="shared" si="956"/>
        <v>0.66535224004584725</v>
      </c>
      <c r="J90" s="207">
        <f t="shared" si="956"/>
        <v>0.74995607356214122</v>
      </c>
      <c r="K90" s="207">
        <f t="shared" si="956"/>
        <v>0.63501740866025125</v>
      </c>
      <c r="L90" s="207">
        <f t="shared" si="956"/>
        <v>0.59649606314282544</v>
      </c>
      <c r="M90" s="208">
        <v>0.65</v>
      </c>
      <c r="N90" s="209">
        <v>0.75</v>
      </c>
      <c r="O90" s="209">
        <v>0.65</v>
      </c>
      <c r="P90" s="209">
        <v>0.65</v>
      </c>
      <c r="Q90" s="209">
        <v>0.65</v>
      </c>
      <c r="R90" s="209">
        <v>0.75</v>
      </c>
      <c r="S90" s="209">
        <f>O90+1%</f>
        <v>0.66</v>
      </c>
      <c r="T90" s="209">
        <f t="shared" ref="T90:AL90" si="957">P90+1%</f>
        <v>0.66</v>
      </c>
      <c r="U90" s="209">
        <f t="shared" si="957"/>
        <v>0.66</v>
      </c>
      <c r="V90" s="209">
        <f t="shared" si="957"/>
        <v>0.76</v>
      </c>
      <c r="W90" s="209">
        <f t="shared" si="957"/>
        <v>0.67</v>
      </c>
      <c r="X90" s="209">
        <f t="shared" si="957"/>
        <v>0.67</v>
      </c>
      <c r="Y90" s="209">
        <f t="shared" si="957"/>
        <v>0.67</v>
      </c>
      <c r="Z90" s="209">
        <f t="shared" si="957"/>
        <v>0.77</v>
      </c>
      <c r="AA90" s="209">
        <f t="shared" si="957"/>
        <v>0.68</v>
      </c>
      <c r="AB90" s="209">
        <f t="shared" si="957"/>
        <v>0.68</v>
      </c>
      <c r="AC90" s="209">
        <f t="shared" si="957"/>
        <v>0.68</v>
      </c>
      <c r="AD90" s="209">
        <f t="shared" si="957"/>
        <v>0.78</v>
      </c>
      <c r="AE90" s="209">
        <f t="shared" si="957"/>
        <v>0.69000000000000006</v>
      </c>
      <c r="AF90" s="209">
        <f t="shared" si="957"/>
        <v>0.69000000000000006</v>
      </c>
      <c r="AG90" s="209">
        <f t="shared" si="957"/>
        <v>0.69000000000000006</v>
      </c>
      <c r="AH90" s="209">
        <f t="shared" si="957"/>
        <v>0.79</v>
      </c>
      <c r="AI90" s="209">
        <f t="shared" si="957"/>
        <v>0.70000000000000007</v>
      </c>
      <c r="AJ90" s="209">
        <f t="shared" si="957"/>
        <v>0.70000000000000007</v>
      </c>
      <c r="AK90" s="209">
        <f t="shared" si="957"/>
        <v>0.70000000000000007</v>
      </c>
      <c r="AL90" s="209">
        <f t="shared" si="957"/>
        <v>0.8</v>
      </c>
      <c r="AM90" s="209">
        <v>0.7</v>
      </c>
      <c r="AN90" s="209">
        <v>0.7</v>
      </c>
      <c r="AO90" s="209">
        <v>0.7</v>
      </c>
      <c r="AP90" s="209">
        <v>0.8</v>
      </c>
      <c r="AQ90" s="209">
        <v>0.7</v>
      </c>
      <c r="AR90" s="209">
        <v>0.7</v>
      </c>
      <c r="AS90" s="209">
        <v>0.7</v>
      </c>
      <c r="AT90" s="209">
        <v>0.8</v>
      </c>
      <c r="AU90" s="209">
        <v>0.7</v>
      </c>
      <c r="AV90" s="209">
        <v>0.7</v>
      </c>
      <c r="AW90" s="209">
        <v>0.7</v>
      </c>
      <c r="AX90" s="209">
        <v>0.8</v>
      </c>
      <c r="AY90" s="209">
        <v>0.7</v>
      </c>
      <c r="AZ90" s="209">
        <v>0.7</v>
      </c>
      <c r="BA90" s="209">
        <v>0.7</v>
      </c>
      <c r="BB90" s="209">
        <v>0.8</v>
      </c>
      <c r="BC90" s="209">
        <v>0.7</v>
      </c>
      <c r="BD90" s="209">
        <v>0.7</v>
      </c>
      <c r="BE90" s="209">
        <v>0.7</v>
      </c>
      <c r="BF90" s="209">
        <v>0.8</v>
      </c>
      <c r="BG90" s="1" t="s">
        <v>7</v>
      </c>
      <c r="BH90" s="200" t="s">
        <v>57</v>
      </c>
      <c r="BI90" s="201">
        <f>(BI11+BI91)/BI7</f>
        <v>0.62215661560065305</v>
      </c>
      <c r="BJ90" s="201">
        <f t="shared" ref="BJ90:BV90" si="958">(BJ11+BJ91)/BJ7</f>
        <v>0.68041569876655572</v>
      </c>
      <c r="BK90" s="201">
        <f t="shared" si="958"/>
        <v>0.67114085935503021</v>
      </c>
      <c r="BL90" s="201">
        <f t="shared" si="958"/>
        <v>0.68330279222733326</v>
      </c>
      <c r="BM90" s="201">
        <f t="shared" si="958"/>
        <v>0.6920667287902853</v>
      </c>
      <c r="BN90" s="201">
        <f t="shared" si="958"/>
        <v>0.701132747067303</v>
      </c>
      <c r="BO90" s="201">
        <f t="shared" si="958"/>
        <v>0.71042984813523369</v>
      </c>
      <c r="BP90" s="201">
        <f t="shared" si="958"/>
        <v>0.71989778352754352</v>
      </c>
      <c r="BQ90" s="201">
        <f t="shared" si="958"/>
        <v>0.7295365007005622</v>
      </c>
      <c r="BR90" s="201">
        <f t="shared" si="958"/>
        <v>0.72927434074372288</v>
      </c>
      <c r="BS90" s="201">
        <f t="shared" si="958"/>
        <v>0.72908193083942663</v>
      </c>
      <c r="BT90" s="201">
        <f t="shared" si="958"/>
        <v>0.72895045359942634</v>
      </c>
      <c r="BU90" s="201">
        <f t="shared" si="958"/>
        <v>0.72885340053750591</v>
      </c>
      <c r="BV90" s="201">
        <f t="shared" si="958"/>
        <v>0.72886774941995358</v>
      </c>
    </row>
    <row r="91" spans="2:74" ht="20.05" customHeight="1" x14ac:dyDescent="0.4">
      <c r="B91" s="200" t="s">
        <v>58</v>
      </c>
      <c r="C91" s="200">
        <v>0</v>
      </c>
      <c r="D91" s="200">
        <v>0</v>
      </c>
      <c r="E91" s="200">
        <v>0</v>
      </c>
      <c r="F91" s="200">
        <v>0</v>
      </c>
      <c r="G91" s="200">
        <v>0</v>
      </c>
      <c r="H91" s="200">
        <v>0</v>
      </c>
      <c r="I91" s="200">
        <v>0</v>
      </c>
      <c r="J91" s="200">
        <v>0</v>
      </c>
      <c r="K91" s="200">
        <v>0</v>
      </c>
      <c r="L91" s="200">
        <v>0</v>
      </c>
      <c r="M91" s="210">
        <f>M121*M122</f>
        <v>1351.2691708700606</v>
      </c>
      <c r="N91" s="211">
        <f>N121*N122</f>
        <v>1351.2691708700606</v>
      </c>
      <c r="O91" s="211">
        <f>O121*O122</f>
        <v>1351.2691708700606</v>
      </c>
      <c r="P91" s="211">
        <f t="shared" ref="P91:BF91" si="959">P121*P122</f>
        <v>1351.2691708700606</v>
      </c>
      <c r="Q91" s="211">
        <f t="shared" si="959"/>
        <v>1351.2691708700606</v>
      </c>
      <c r="R91" s="211">
        <f t="shared" si="959"/>
        <v>1351.2691708700606</v>
      </c>
      <c r="S91" s="211">
        <f t="shared" si="959"/>
        <v>1351.2691708700606</v>
      </c>
      <c r="T91" s="211">
        <f t="shared" si="959"/>
        <v>1351.2691708700606</v>
      </c>
      <c r="U91" s="211">
        <f t="shared" si="959"/>
        <v>1351.2691708700606</v>
      </c>
      <c r="V91" s="211">
        <f t="shared" si="959"/>
        <v>1351.2691708700606</v>
      </c>
      <c r="W91" s="211">
        <f t="shared" si="959"/>
        <v>1351.2691708700606</v>
      </c>
      <c r="X91" s="211">
        <f t="shared" si="959"/>
        <v>1351.2691708700606</v>
      </c>
      <c r="Y91" s="211">
        <f t="shared" si="959"/>
        <v>1351.2691708700606</v>
      </c>
      <c r="Z91" s="211">
        <f t="shared" si="959"/>
        <v>1351.2691708700606</v>
      </c>
      <c r="AA91" s="211">
        <f t="shared" si="959"/>
        <v>0</v>
      </c>
      <c r="AB91" s="211">
        <f t="shared" si="959"/>
        <v>0</v>
      </c>
      <c r="AC91" s="211">
        <f t="shared" si="959"/>
        <v>0</v>
      </c>
      <c r="AD91" s="211">
        <f t="shared" si="959"/>
        <v>0</v>
      </c>
      <c r="AE91" s="211">
        <f t="shared" si="959"/>
        <v>0</v>
      </c>
      <c r="AF91" s="211">
        <f t="shared" si="959"/>
        <v>0</v>
      </c>
      <c r="AG91" s="211">
        <f t="shared" si="959"/>
        <v>0</v>
      </c>
      <c r="AH91" s="211">
        <f t="shared" si="959"/>
        <v>0</v>
      </c>
      <c r="AI91" s="211">
        <f t="shared" si="959"/>
        <v>0</v>
      </c>
      <c r="AJ91" s="211">
        <f t="shared" si="959"/>
        <v>0</v>
      </c>
      <c r="AK91" s="211">
        <f t="shared" si="959"/>
        <v>0</v>
      </c>
      <c r="AL91" s="211">
        <f t="shared" si="959"/>
        <v>0</v>
      </c>
      <c r="AM91" s="211">
        <f t="shared" si="959"/>
        <v>0</v>
      </c>
      <c r="AN91" s="211">
        <f t="shared" si="959"/>
        <v>0</v>
      </c>
      <c r="AO91" s="211">
        <f t="shared" si="959"/>
        <v>0</v>
      </c>
      <c r="AP91" s="211">
        <f t="shared" si="959"/>
        <v>0</v>
      </c>
      <c r="AQ91" s="211">
        <f t="shared" si="959"/>
        <v>0</v>
      </c>
      <c r="AR91" s="211">
        <f t="shared" si="959"/>
        <v>0</v>
      </c>
      <c r="AS91" s="211">
        <f t="shared" si="959"/>
        <v>0</v>
      </c>
      <c r="AT91" s="211">
        <f t="shared" si="959"/>
        <v>0</v>
      </c>
      <c r="AU91" s="211">
        <f t="shared" si="959"/>
        <v>0</v>
      </c>
      <c r="AV91" s="211">
        <f t="shared" si="959"/>
        <v>0</v>
      </c>
      <c r="AW91" s="211">
        <f t="shared" si="959"/>
        <v>0</v>
      </c>
      <c r="AX91" s="211">
        <f t="shared" si="959"/>
        <v>0</v>
      </c>
      <c r="AY91" s="211">
        <f t="shared" si="959"/>
        <v>0</v>
      </c>
      <c r="AZ91" s="211">
        <f t="shared" si="959"/>
        <v>0</v>
      </c>
      <c r="BA91" s="211">
        <f t="shared" si="959"/>
        <v>0</v>
      </c>
      <c r="BB91" s="211">
        <f t="shared" si="959"/>
        <v>0</v>
      </c>
      <c r="BC91" s="211">
        <f t="shared" si="959"/>
        <v>0</v>
      </c>
      <c r="BD91" s="211">
        <f t="shared" si="959"/>
        <v>0</v>
      </c>
      <c r="BE91" s="211">
        <f t="shared" si="959"/>
        <v>0</v>
      </c>
      <c r="BF91" s="211">
        <f t="shared" si="959"/>
        <v>0</v>
      </c>
      <c r="BG91" s="1" t="s">
        <v>7</v>
      </c>
      <c r="BH91" s="200" t="s">
        <v>58</v>
      </c>
      <c r="BI91" s="202">
        <f t="shared" ref="BI91:BV91" si="960">SUMIF($C$4:$BF$4,BI$5,$C91:$BF91)</f>
        <v>0</v>
      </c>
      <c r="BJ91" s="202">
        <f t="shared" si="960"/>
        <v>0</v>
      </c>
      <c r="BK91" s="202">
        <f t="shared" si="960"/>
        <v>2702.5383417401213</v>
      </c>
      <c r="BL91" s="202">
        <f t="shared" si="960"/>
        <v>5405.0766834802425</v>
      </c>
      <c r="BM91" s="202">
        <f t="shared" si="960"/>
        <v>5405.0766834802425</v>
      </c>
      <c r="BN91" s="202">
        <f t="shared" si="960"/>
        <v>5405.0766834802425</v>
      </c>
      <c r="BO91" s="202">
        <f t="shared" si="960"/>
        <v>0</v>
      </c>
      <c r="BP91" s="202">
        <f t="shared" si="960"/>
        <v>0</v>
      </c>
      <c r="BQ91" s="202">
        <f t="shared" si="960"/>
        <v>0</v>
      </c>
      <c r="BR91" s="202">
        <f t="shared" si="960"/>
        <v>0</v>
      </c>
      <c r="BS91" s="202">
        <f t="shared" si="960"/>
        <v>0</v>
      </c>
      <c r="BT91" s="202">
        <f t="shared" si="960"/>
        <v>0</v>
      </c>
      <c r="BU91" s="202">
        <f t="shared" si="960"/>
        <v>0</v>
      </c>
      <c r="BV91" s="202">
        <f t="shared" si="960"/>
        <v>0</v>
      </c>
    </row>
    <row r="92" spans="2:74" ht="20.05" customHeight="1" x14ac:dyDescent="0.4">
      <c r="B92" s="200"/>
      <c r="C92" s="200"/>
      <c r="D92" s="200"/>
      <c r="E92" s="200"/>
      <c r="F92" s="200"/>
      <c r="G92" s="200"/>
      <c r="H92" s="200"/>
      <c r="I92" s="200"/>
      <c r="J92" s="200"/>
      <c r="K92" s="200"/>
      <c r="L92" s="200"/>
      <c r="M92" s="212"/>
      <c r="N92" s="200"/>
      <c r="O92" s="200"/>
      <c r="P92" s="200"/>
      <c r="Q92" s="200"/>
      <c r="R92" s="200"/>
      <c r="S92" s="200"/>
      <c r="T92" s="200"/>
      <c r="U92" s="200"/>
      <c r="V92" s="200"/>
      <c r="W92" s="200"/>
      <c r="X92" s="200"/>
      <c r="Y92" s="200"/>
      <c r="Z92" s="200"/>
      <c r="AA92" s="200"/>
      <c r="AB92" s="200"/>
      <c r="AC92" s="200"/>
      <c r="AD92" s="200"/>
      <c r="AE92" s="200"/>
      <c r="AF92" s="200"/>
      <c r="AG92" s="200"/>
      <c r="AH92" s="200"/>
      <c r="AI92" s="200"/>
      <c r="AJ92" s="200"/>
      <c r="AK92" s="200"/>
      <c r="AL92" s="200"/>
      <c r="AM92" s="200"/>
      <c r="AN92" s="200"/>
      <c r="AO92" s="200"/>
      <c r="AP92" s="200"/>
      <c r="AQ92" s="200"/>
      <c r="AR92" s="200"/>
      <c r="AS92" s="200"/>
      <c r="AT92" s="200"/>
      <c r="AU92" s="200"/>
      <c r="AV92" s="200"/>
      <c r="AW92" s="200"/>
      <c r="AX92" s="200"/>
      <c r="AY92" s="200"/>
      <c r="AZ92" s="200"/>
      <c r="BA92" s="200"/>
      <c r="BB92" s="200"/>
      <c r="BC92" s="200"/>
      <c r="BD92" s="200"/>
      <c r="BE92" s="200"/>
      <c r="BF92" s="200"/>
      <c r="BG92" s="1" t="s">
        <v>7</v>
      </c>
      <c r="BH92" s="200"/>
      <c r="BI92" s="200"/>
      <c r="BJ92" s="200"/>
      <c r="BK92" s="200"/>
      <c r="BL92" s="200"/>
      <c r="BM92" s="200"/>
      <c r="BN92" s="200"/>
      <c r="BO92" s="200"/>
      <c r="BP92" s="200"/>
      <c r="BQ92" s="200"/>
      <c r="BR92" s="200"/>
      <c r="BS92" s="200"/>
      <c r="BT92" s="200"/>
      <c r="BU92" s="200"/>
      <c r="BV92" s="200"/>
    </row>
    <row r="93" spans="2:74" ht="20.05" customHeight="1" x14ac:dyDescent="0.4">
      <c r="B93" s="200" t="s">
        <v>75</v>
      </c>
      <c r="C93" s="201">
        <f t="shared" ref="C93:L93" si="961">C22/C7</f>
        <v>5.0457992114043067E-2</v>
      </c>
      <c r="D93" s="201">
        <f t="shared" si="961"/>
        <v>4.0918439996835691E-2</v>
      </c>
      <c r="E93" s="201">
        <f t="shared" si="961"/>
        <v>3.3806801031452401E-2</v>
      </c>
      <c r="F93" s="201">
        <f t="shared" si="961"/>
        <v>2.2602194455020593E-2</v>
      </c>
      <c r="G93" s="201">
        <f t="shared" si="961"/>
        <v>3.6442116642179063E-2</v>
      </c>
      <c r="H93" s="201">
        <f t="shared" si="961"/>
        <v>3.4189041639783611E-2</v>
      </c>
      <c r="I93" s="201">
        <f t="shared" si="961"/>
        <v>2.6903684074932831E-2</v>
      </c>
      <c r="J93" s="201">
        <f t="shared" si="961"/>
        <v>1.9927960641911678E-2</v>
      </c>
      <c r="K93" s="201">
        <f t="shared" si="961"/>
        <v>2.8210449158292517E-2</v>
      </c>
      <c r="L93" s="201">
        <f t="shared" si="961"/>
        <v>2.4907272372334439E-2</v>
      </c>
      <c r="M93" s="213">
        <v>2.5000000000000001E-2</v>
      </c>
      <c r="N93" s="214">
        <v>2.5000000000000001E-2</v>
      </c>
      <c r="O93" s="214">
        <v>2.5000000000000001E-2</v>
      </c>
      <c r="P93" s="214">
        <v>2.5000000000000001E-2</v>
      </c>
      <c r="Q93" s="214">
        <v>2.5000000000000001E-2</v>
      </c>
      <c r="R93" s="214">
        <v>2.5000000000000001E-2</v>
      </c>
      <c r="S93" s="214">
        <v>2.5000000000000001E-2</v>
      </c>
      <c r="T93" s="214">
        <v>2.5000000000000001E-2</v>
      </c>
      <c r="U93" s="214">
        <v>2.5000000000000001E-2</v>
      </c>
      <c r="V93" s="214">
        <v>2.5000000000000001E-2</v>
      </c>
      <c r="W93" s="214">
        <v>2.5000000000000001E-2</v>
      </c>
      <c r="X93" s="214">
        <v>2.5000000000000001E-2</v>
      </c>
      <c r="Y93" s="214">
        <v>2.5000000000000001E-2</v>
      </c>
      <c r="Z93" s="214">
        <v>2.5000000000000001E-2</v>
      </c>
      <c r="AA93" s="214">
        <v>2.5000000000000001E-2</v>
      </c>
      <c r="AB93" s="214">
        <v>2.5000000000000001E-2</v>
      </c>
      <c r="AC93" s="214">
        <v>2.5000000000000001E-2</v>
      </c>
      <c r="AD93" s="214">
        <v>2.5000000000000001E-2</v>
      </c>
      <c r="AE93" s="214">
        <v>2.5000000000000001E-2</v>
      </c>
      <c r="AF93" s="214">
        <v>2.5000000000000001E-2</v>
      </c>
      <c r="AG93" s="214">
        <v>2.5000000000000001E-2</v>
      </c>
      <c r="AH93" s="214">
        <v>2.5000000000000001E-2</v>
      </c>
      <c r="AI93" s="214">
        <v>2.5000000000000001E-2</v>
      </c>
      <c r="AJ93" s="214">
        <v>2.5000000000000001E-2</v>
      </c>
      <c r="AK93" s="214">
        <v>2.5000000000000001E-2</v>
      </c>
      <c r="AL93" s="214">
        <v>2.5000000000000001E-2</v>
      </c>
      <c r="AM93" s="214">
        <v>2.5000000000000001E-2</v>
      </c>
      <c r="AN93" s="214">
        <v>2.5000000000000001E-2</v>
      </c>
      <c r="AO93" s="214">
        <v>2.5000000000000001E-2</v>
      </c>
      <c r="AP93" s="214">
        <v>2.5000000000000001E-2</v>
      </c>
      <c r="AQ93" s="214">
        <v>2.5000000000000001E-2</v>
      </c>
      <c r="AR93" s="214">
        <v>2.5000000000000001E-2</v>
      </c>
      <c r="AS93" s="214">
        <v>2.5000000000000001E-2</v>
      </c>
      <c r="AT93" s="214">
        <v>2.5000000000000001E-2</v>
      </c>
      <c r="AU93" s="214">
        <v>2.5000000000000001E-2</v>
      </c>
      <c r="AV93" s="214">
        <v>2.5000000000000001E-2</v>
      </c>
      <c r="AW93" s="214">
        <v>2.5000000000000001E-2</v>
      </c>
      <c r="AX93" s="214">
        <v>2.5000000000000001E-2</v>
      </c>
      <c r="AY93" s="214">
        <v>2.5000000000000001E-2</v>
      </c>
      <c r="AZ93" s="214">
        <v>2.5000000000000001E-2</v>
      </c>
      <c r="BA93" s="214">
        <v>2.5000000000000001E-2</v>
      </c>
      <c r="BB93" s="214">
        <v>2.5000000000000001E-2</v>
      </c>
      <c r="BC93" s="214">
        <v>2.5000000000000001E-2</v>
      </c>
      <c r="BD93" s="214">
        <v>2.5000000000000001E-2</v>
      </c>
      <c r="BE93" s="214">
        <v>2.5000000000000001E-2</v>
      </c>
      <c r="BF93" s="214">
        <v>2.5000000000000001E-2</v>
      </c>
      <c r="BG93" s="1" t="s">
        <v>7</v>
      </c>
      <c r="BH93" s="200" t="s">
        <v>75</v>
      </c>
      <c r="BI93" s="201">
        <f>BI22/BI7</f>
        <v>3.412272761878981E-2</v>
      </c>
      <c r="BJ93" s="201">
        <f t="shared" ref="BJ93:BV93" si="962">BJ22/BJ7</f>
        <v>2.7593751818946678E-2</v>
      </c>
      <c r="BK93" s="201">
        <f t="shared" si="962"/>
        <v>2.551452460070747E-2</v>
      </c>
      <c r="BL93" s="201">
        <f t="shared" si="962"/>
        <v>2.5000000000000001E-2</v>
      </c>
      <c r="BM93" s="201">
        <f t="shared" si="962"/>
        <v>2.5000000000000001E-2</v>
      </c>
      <c r="BN93" s="201">
        <f t="shared" si="962"/>
        <v>2.5000000000000001E-2</v>
      </c>
      <c r="BO93" s="201">
        <f t="shared" si="962"/>
        <v>2.5000000000000001E-2</v>
      </c>
      <c r="BP93" s="201">
        <f t="shared" si="962"/>
        <v>2.5000000000000001E-2</v>
      </c>
      <c r="BQ93" s="201">
        <f t="shared" si="962"/>
        <v>2.5000000000000001E-2</v>
      </c>
      <c r="BR93" s="201">
        <f t="shared" si="962"/>
        <v>2.5000000000000001E-2</v>
      </c>
      <c r="BS93" s="201">
        <f t="shared" si="962"/>
        <v>2.5000000000000001E-2</v>
      </c>
      <c r="BT93" s="201">
        <f t="shared" si="962"/>
        <v>2.5000000000000001E-2</v>
      </c>
      <c r="BU93" s="201">
        <f t="shared" si="962"/>
        <v>2.5000000000000001E-2</v>
      </c>
      <c r="BV93" s="201">
        <f t="shared" si="962"/>
        <v>2.5000000000000001E-2</v>
      </c>
    </row>
    <row r="94" spans="2:74" ht="20.05" customHeight="1" x14ac:dyDescent="0.4">
      <c r="B94" s="203" t="s">
        <v>77</v>
      </c>
      <c r="C94" s="202">
        <f>16135/4</f>
        <v>4033.75</v>
      </c>
      <c r="D94" s="202">
        <f t="shared" ref="D94:F94" si="963">16135/4</f>
        <v>4033.75</v>
      </c>
      <c r="E94" s="202">
        <f t="shared" si="963"/>
        <v>4033.75</v>
      </c>
      <c r="F94" s="202">
        <f t="shared" si="963"/>
        <v>4033.75</v>
      </c>
      <c r="G94" s="202">
        <f>20859/4</f>
        <v>5214.75</v>
      </c>
      <c r="H94" s="202">
        <f t="shared" ref="H94:J94" si="964">20859/4</f>
        <v>5214.75</v>
      </c>
      <c r="I94" s="202">
        <f t="shared" si="964"/>
        <v>5214.75</v>
      </c>
      <c r="J94" s="202">
        <f t="shared" si="964"/>
        <v>5214.75</v>
      </c>
      <c r="K94" s="202">
        <v>3706</v>
      </c>
      <c r="L94" s="202">
        <v>8208</v>
      </c>
      <c r="M94" s="210">
        <f t="shared" ref="M94:BF94" si="965">M95*M7</f>
        <v>8079.75</v>
      </c>
      <c r="N94" s="202">
        <f t="shared" si="965"/>
        <v>8528.4</v>
      </c>
      <c r="O94" s="202">
        <f t="shared" si="965"/>
        <v>6658.4000000000005</v>
      </c>
      <c r="P94" s="202">
        <f t="shared" si="965"/>
        <v>12532.949999999999</v>
      </c>
      <c r="Q94" s="202">
        <f t="shared" si="965"/>
        <v>12261.750000000002</v>
      </c>
      <c r="R94" s="202">
        <f t="shared" si="965"/>
        <v>12394.5</v>
      </c>
      <c r="S94" s="202">
        <f t="shared" si="965"/>
        <v>10234.4</v>
      </c>
      <c r="T94" s="202">
        <f t="shared" si="965"/>
        <v>18852.899999999998</v>
      </c>
      <c r="U94" s="202">
        <f t="shared" si="965"/>
        <v>18061.875</v>
      </c>
      <c r="V94" s="202">
        <f t="shared" si="965"/>
        <v>17584.400000000001</v>
      </c>
      <c r="W94" s="202">
        <f t="shared" si="965"/>
        <v>14718.85</v>
      </c>
      <c r="X94" s="202">
        <f t="shared" si="965"/>
        <v>26591.625</v>
      </c>
      <c r="Y94" s="202">
        <f t="shared" si="965"/>
        <v>25042.5</v>
      </c>
      <c r="Z94" s="202">
        <f t="shared" si="965"/>
        <v>23724.850000000002</v>
      </c>
      <c r="AA94" s="202">
        <f t="shared" si="965"/>
        <v>20050.8</v>
      </c>
      <c r="AB94" s="202">
        <f t="shared" si="965"/>
        <v>35642.400000000001</v>
      </c>
      <c r="AC94" s="202">
        <f t="shared" si="965"/>
        <v>33122.125</v>
      </c>
      <c r="AD94" s="202">
        <f t="shared" si="965"/>
        <v>30753.5</v>
      </c>
      <c r="AE94" s="202">
        <f t="shared" si="965"/>
        <v>26045.05</v>
      </c>
      <c r="AF94" s="202">
        <f t="shared" si="965"/>
        <v>45701.924999999996</v>
      </c>
      <c r="AG94" s="202">
        <f t="shared" si="965"/>
        <v>42034.875</v>
      </c>
      <c r="AH94" s="202">
        <f t="shared" si="965"/>
        <v>38444.050000000003</v>
      </c>
      <c r="AI94" s="202">
        <f t="shared" si="965"/>
        <v>32402.850000000002</v>
      </c>
      <c r="AJ94" s="202">
        <f t="shared" si="965"/>
        <v>56364.299999999996</v>
      </c>
      <c r="AK94" s="202">
        <f t="shared" si="965"/>
        <v>51485.625</v>
      </c>
      <c r="AL94" s="202">
        <f t="shared" si="965"/>
        <v>46598.6</v>
      </c>
      <c r="AM94" s="202">
        <f t="shared" si="965"/>
        <v>39057.200000000004</v>
      </c>
      <c r="AN94" s="202">
        <f t="shared" si="965"/>
        <v>67517.437499999985</v>
      </c>
      <c r="AO94" s="202">
        <f t="shared" si="965"/>
        <v>61365.4375</v>
      </c>
      <c r="AP94" s="202">
        <f t="shared" si="965"/>
        <v>55117.275000000001</v>
      </c>
      <c r="AQ94" s="202">
        <f t="shared" si="965"/>
        <v>45830.875</v>
      </c>
      <c r="AR94" s="202">
        <f t="shared" si="965"/>
        <v>78881.287499999991</v>
      </c>
      <c r="AS94" s="202">
        <f t="shared" si="965"/>
        <v>71428.40625</v>
      </c>
      <c r="AT94" s="202">
        <f t="shared" si="965"/>
        <v>63792.175000000003</v>
      </c>
      <c r="AU94" s="202">
        <f t="shared" si="965"/>
        <v>52620.775000000001</v>
      </c>
      <c r="AV94" s="202">
        <f t="shared" si="965"/>
        <v>90330.5625</v>
      </c>
      <c r="AW94" s="202">
        <f t="shared" si="965"/>
        <v>81590.531250000015</v>
      </c>
      <c r="AX94" s="202">
        <f t="shared" si="965"/>
        <v>72575.675000000003</v>
      </c>
      <c r="AY94" s="202">
        <f t="shared" si="965"/>
        <v>59447.375</v>
      </c>
      <c r="AZ94" s="202">
        <f t="shared" si="965"/>
        <v>101882.58750000001</v>
      </c>
      <c r="BA94" s="202">
        <f t="shared" si="965"/>
        <v>91850.65625</v>
      </c>
      <c r="BB94" s="202">
        <f t="shared" si="965"/>
        <v>81454.275000000009</v>
      </c>
      <c r="BC94" s="202">
        <f t="shared" si="965"/>
        <v>64415.425000000003</v>
      </c>
      <c r="BD94" s="202">
        <f t="shared" si="965"/>
        <v>110685.4875</v>
      </c>
      <c r="BE94" s="202">
        <f t="shared" si="965"/>
        <v>99811.59375</v>
      </c>
      <c r="BF94" s="202">
        <f t="shared" si="965"/>
        <v>88493.725000000006</v>
      </c>
      <c r="BG94" s="1" t="s">
        <v>7</v>
      </c>
      <c r="BH94" s="203" t="s">
        <v>77</v>
      </c>
      <c r="BI94" s="204">
        <f>BI74</f>
        <v>0</v>
      </c>
      <c r="BJ94" s="204">
        <f t="shared" ref="BJ94:BV94" si="966">BJ74</f>
        <v>0</v>
      </c>
      <c r="BK94" s="204">
        <f t="shared" si="966"/>
        <v>28522.15</v>
      </c>
      <c r="BL94" s="204">
        <f t="shared" si="966"/>
        <v>43847.6</v>
      </c>
      <c r="BM94" s="204">
        <f t="shared" si="966"/>
        <v>64733.574999999997</v>
      </c>
      <c r="BN94" s="204">
        <f t="shared" si="966"/>
        <v>90077.825000000012</v>
      </c>
      <c r="BO94" s="204">
        <f t="shared" si="966"/>
        <v>119568.825</v>
      </c>
      <c r="BP94" s="204">
        <f t="shared" si="966"/>
        <v>152225.9</v>
      </c>
      <c r="BQ94" s="204">
        <f t="shared" si="966"/>
        <v>186851.375</v>
      </c>
      <c r="BR94" s="204">
        <f t="shared" si="966"/>
        <v>223057.34999999998</v>
      </c>
      <c r="BS94" s="204">
        <f t="shared" si="966"/>
        <v>259932.74374999997</v>
      </c>
      <c r="BT94" s="204">
        <f t="shared" si="966"/>
        <v>297117.54375000001</v>
      </c>
      <c r="BU94" s="204">
        <f t="shared" si="966"/>
        <v>334634.89375000005</v>
      </c>
      <c r="BV94" s="204">
        <f t="shared" si="966"/>
        <v>363406.23124999995</v>
      </c>
    </row>
    <row r="95" spans="2:74" ht="20.05" customHeight="1" x14ac:dyDescent="0.4">
      <c r="B95" s="205" t="s">
        <v>110</v>
      </c>
      <c r="C95" s="201">
        <f t="shared" ref="C95:L95" si="967">C94/C7</f>
        <v>4.893842887473461E-2</v>
      </c>
      <c r="D95" s="201">
        <f t="shared" si="967"/>
        <v>3.988756823036152E-2</v>
      </c>
      <c r="E95" s="201">
        <f t="shared" si="967"/>
        <v>3.4787801954240083E-2</v>
      </c>
      <c r="F95" s="201">
        <f t="shared" si="967"/>
        <v>2.3269934120198909E-2</v>
      </c>
      <c r="G95" s="201">
        <f t="shared" si="967"/>
        <v>3.9698459945645137E-2</v>
      </c>
      <c r="H95" s="201">
        <f t="shared" si="967"/>
        <v>3.2351171274008633E-2</v>
      </c>
      <c r="I95" s="201">
        <f t="shared" si="967"/>
        <v>2.7417624883673244E-2</v>
      </c>
      <c r="J95" s="201">
        <f t="shared" si="967"/>
        <v>1.9088782651985475E-2</v>
      </c>
      <c r="K95" s="201">
        <f t="shared" si="967"/>
        <v>1.8354621590700854E-2</v>
      </c>
      <c r="L95" s="201">
        <f t="shared" si="967"/>
        <v>3.1418302079625184E-2</v>
      </c>
      <c r="M95" s="213">
        <v>2.5000000000000001E-2</v>
      </c>
      <c r="N95" s="214">
        <v>0.02</v>
      </c>
      <c r="O95" s="214">
        <v>0.02</v>
      </c>
      <c r="P95" s="214">
        <v>0.03</v>
      </c>
      <c r="Q95" s="214">
        <v>2.5000000000000001E-2</v>
      </c>
      <c r="R95" s="214">
        <v>0.02</v>
      </c>
      <c r="S95" s="214">
        <v>0.02</v>
      </c>
      <c r="T95" s="214">
        <v>0.03</v>
      </c>
      <c r="U95" s="214">
        <v>2.5000000000000001E-2</v>
      </c>
      <c r="V95" s="214">
        <v>0.02</v>
      </c>
      <c r="W95" s="214">
        <v>0.02</v>
      </c>
      <c r="X95" s="214">
        <v>0.03</v>
      </c>
      <c r="Y95" s="214">
        <v>2.5000000000000001E-2</v>
      </c>
      <c r="Z95" s="214">
        <v>0.02</v>
      </c>
      <c r="AA95" s="214">
        <v>0.02</v>
      </c>
      <c r="AB95" s="214">
        <v>0.03</v>
      </c>
      <c r="AC95" s="214">
        <v>2.5000000000000001E-2</v>
      </c>
      <c r="AD95" s="214">
        <v>0.02</v>
      </c>
      <c r="AE95" s="214">
        <v>0.02</v>
      </c>
      <c r="AF95" s="214">
        <v>0.03</v>
      </c>
      <c r="AG95" s="214">
        <v>2.5000000000000001E-2</v>
      </c>
      <c r="AH95" s="214">
        <v>0.02</v>
      </c>
      <c r="AI95" s="214">
        <v>0.02</v>
      </c>
      <c r="AJ95" s="214">
        <v>0.03</v>
      </c>
      <c r="AK95" s="214">
        <v>2.5000000000000001E-2</v>
      </c>
      <c r="AL95" s="214">
        <v>0.02</v>
      </c>
      <c r="AM95" s="214">
        <v>0.02</v>
      </c>
      <c r="AN95" s="214">
        <v>0.03</v>
      </c>
      <c r="AO95" s="214">
        <v>2.5000000000000001E-2</v>
      </c>
      <c r="AP95" s="214">
        <v>0.02</v>
      </c>
      <c r="AQ95" s="214">
        <v>0.02</v>
      </c>
      <c r="AR95" s="214">
        <v>0.03</v>
      </c>
      <c r="AS95" s="214">
        <v>2.5000000000000001E-2</v>
      </c>
      <c r="AT95" s="214">
        <v>0.02</v>
      </c>
      <c r="AU95" s="214">
        <v>0.02</v>
      </c>
      <c r="AV95" s="214">
        <v>0.03</v>
      </c>
      <c r="AW95" s="214">
        <v>2.5000000000000001E-2</v>
      </c>
      <c r="AX95" s="214">
        <v>0.02</v>
      </c>
      <c r="AY95" s="214">
        <v>0.02</v>
      </c>
      <c r="AZ95" s="214">
        <v>0.03</v>
      </c>
      <c r="BA95" s="214">
        <v>2.5000000000000001E-2</v>
      </c>
      <c r="BB95" s="214">
        <v>0.02</v>
      </c>
      <c r="BC95" s="214">
        <v>0.02</v>
      </c>
      <c r="BD95" s="214">
        <v>0.03</v>
      </c>
      <c r="BE95" s="214">
        <v>2.5000000000000001E-2</v>
      </c>
      <c r="BF95" s="214">
        <v>0.02</v>
      </c>
      <c r="BG95" s="1" t="s">
        <v>7</v>
      </c>
      <c r="BH95" s="205" t="s">
        <v>110</v>
      </c>
      <c r="BI95" s="201">
        <f>BI94/BI7</f>
        <v>0</v>
      </c>
      <c r="BJ95" s="201">
        <f t="shared" ref="BJ95:BV95" si="968">BJ94/BJ7</f>
        <v>0</v>
      </c>
      <c r="BK95" s="201">
        <f t="shared" si="968"/>
        <v>2.3518185641135583E-2</v>
      </c>
      <c r="BL95" s="201">
        <f t="shared" si="968"/>
        <v>2.3562830488800996E-2</v>
      </c>
      <c r="BM95" s="201">
        <f t="shared" si="968"/>
        <v>2.3609494701560443E-2</v>
      </c>
      <c r="BN95" s="201">
        <f t="shared" si="968"/>
        <v>2.3640782909883744E-2</v>
      </c>
      <c r="BO95" s="201">
        <f t="shared" si="968"/>
        <v>2.3662094958026431E-2</v>
      </c>
      <c r="BP95" s="201">
        <f t="shared" si="968"/>
        <v>2.367709440334969E-2</v>
      </c>
      <c r="BQ95" s="201">
        <f t="shared" si="968"/>
        <v>2.3687131238228225E-2</v>
      </c>
      <c r="BR95" s="201">
        <f t="shared" si="968"/>
        <v>2.3694411123524755E-2</v>
      </c>
      <c r="BS95" s="201">
        <f t="shared" si="968"/>
        <v>2.3699916413384248E-2</v>
      </c>
      <c r="BT95" s="201">
        <f t="shared" si="968"/>
        <v>2.3704051430206919E-2</v>
      </c>
      <c r="BU95" s="201">
        <f t="shared" si="968"/>
        <v>2.3707422656931064E-2</v>
      </c>
      <c r="BV95" s="201">
        <f t="shared" si="968"/>
        <v>2.3709522955158026E-2</v>
      </c>
    </row>
    <row r="96" spans="2:74" ht="20.05" customHeight="1" x14ac:dyDescent="0.4">
      <c r="B96" s="203" t="s">
        <v>109</v>
      </c>
      <c r="C96" s="202"/>
      <c r="D96" s="202"/>
      <c r="E96" s="202"/>
      <c r="F96" s="202">
        <v>111015</v>
      </c>
      <c r="G96" s="200"/>
      <c r="H96" s="202"/>
      <c r="I96" s="202"/>
      <c r="J96" s="202">
        <v>147440</v>
      </c>
      <c r="K96" s="202">
        <v>92435</v>
      </c>
      <c r="L96" s="202">
        <v>122516</v>
      </c>
      <c r="M96" s="210">
        <f t="shared" ref="M96:BF96" si="969">SUM(J7:M7)*M97</f>
        <v>158930.1</v>
      </c>
      <c r="N96" s="211">
        <f t="shared" si="969"/>
        <v>242554</v>
      </c>
      <c r="O96" s="211">
        <f t="shared" si="969"/>
        <v>134377.9</v>
      </c>
      <c r="P96" s="211">
        <f t="shared" si="969"/>
        <v>180035.4</v>
      </c>
      <c r="Q96" s="211">
        <f t="shared" si="969"/>
        <v>233460.50000000003</v>
      </c>
      <c r="R96" s="211">
        <f t="shared" si="969"/>
        <v>353567.2</v>
      </c>
      <c r="S96" s="211">
        <f t="shared" si="969"/>
        <v>203968</v>
      </c>
      <c r="T96" s="211">
        <f t="shared" si="969"/>
        <v>270041.39999999997</v>
      </c>
      <c r="U96" s="211">
        <f t="shared" si="969"/>
        <v>347529.00000000006</v>
      </c>
      <c r="V96" s="211">
        <f t="shared" si="969"/>
        <v>520950.55</v>
      </c>
      <c r="W96" s="211">
        <f t="shared" si="969"/>
        <v>296606.75</v>
      </c>
      <c r="X96" s="211">
        <f t="shared" si="969"/>
        <v>354642.75</v>
      </c>
      <c r="Y96" s="211">
        <f t="shared" si="969"/>
        <v>455422.5</v>
      </c>
      <c r="Z96" s="211">
        <f t="shared" si="969"/>
        <v>685849.04999999993</v>
      </c>
      <c r="AA96" s="211">
        <f t="shared" si="969"/>
        <v>407687</v>
      </c>
      <c r="AB96" s="211">
        <f t="shared" si="969"/>
        <v>481641.875</v>
      </c>
      <c r="AC96" s="211">
        <f t="shared" si="969"/>
        <v>611227.17500000005</v>
      </c>
      <c r="AD96" s="211">
        <f t="shared" si="969"/>
        <v>909572.4</v>
      </c>
      <c r="AE96" s="211">
        <f t="shared" si="969"/>
        <v>535289.25</v>
      </c>
      <c r="AF96" s="211">
        <f t="shared" si="969"/>
        <v>568821</v>
      </c>
      <c r="AG96" s="211">
        <f t="shared" si="969"/>
        <v>725366.4</v>
      </c>
      <c r="AH96" s="211">
        <f t="shared" si="969"/>
        <v>1092972.0750000002</v>
      </c>
      <c r="AI96" s="211">
        <f t="shared" si="969"/>
        <v>674713.75</v>
      </c>
      <c r="AJ96" s="211">
        <f t="shared" si="969"/>
        <v>710255</v>
      </c>
      <c r="AK96" s="211">
        <f t="shared" si="969"/>
        <v>897669.6</v>
      </c>
      <c r="AL96" s="211">
        <f t="shared" si="969"/>
        <v>1341012.2750000001</v>
      </c>
      <c r="AM96" s="211">
        <f t="shared" si="969"/>
        <v>822102.5</v>
      </c>
      <c r="AN96" s="211">
        <f t="shared" si="969"/>
        <v>859279.625</v>
      </c>
      <c r="AO96" s="211">
        <f t="shared" si="969"/>
        <v>988678.76249999995</v>
      </c>
      <c r="AP96" s="211">
        <f t="shared" si="969"/>
        <v>1506227.6</v>
      </c>
      <c r="AQ96" s="211">
        <f t="shared" si="969"/>
        <v>975260.625</v>
      </c>
      <c r="AR96" s="211">
        <f t="shared" si="969"/>
        <v>1013140.125</v>
      </c>
      <c r="AS96" s="211">
        <f t="shared" si="969"/>
        <v>1158731.2</v>
      </c>
      <c r="AT96" s="211">
        <f t="shared" si="969"/>
        <v>1754826.4000000001</v>
      </c>
      <c r="AU96" s="211">
        <f t="shared" si="969"/>
        <v>1130716</v>
      </c>
      <c r="AV96" s="211">
        <f t="shared" si="969"/>
        <v>1168880.25</v>
      </c>
      <c r="AW96" s="211">
        <f t="shared" si="969"/>
        <v>1209528.75</v>
      </c>
      <c r="AX96" s="211">
        <f t="shared" si="969"/>
        <v>1880169.375</v>
      </c>
      <c r="AY96" s="211">
        <f t="shared" si="969"/>
        <v>1287579.25</v>
      </c>
      <c r="AZ96" s="211">
        <f t="shared" si="969"/>
        <v>1326086</v>
      </c>
      <c r="BA96" s="211">
        <f t="shared" si="969"/>
        <v>1367126.5</v>
      </c>
      <c r="BB96" s="211">
        <f t="shared" si="969"/>
        <v>2117279.25</v>
      </c>
      <c r="BC96" s="211">
        <f t="shared" si="969"/>
        <v>1436359.75</v>
      </c>
      <c r="BD96" s="211">
        <f t="shared" si="969"/>
        <v>1465702.75</v>
      </c>
      <c r="BE96" s="211">
        <f t="shared" si="969"/>
        <v>1497546.5</v>
      </c>
      <c r="BF96" s="211">
        <f t="shared" si="969"/>
        <v>2299115.625</v>
      </c>
      <c r="BG96" s="1" t="s">
        <v>7</v>
      </c>
      <c r="BH96" s="203" t="s">
        <v>109</v>
      </c>
      <c r="BI96" s="202">
        <f>SUMIF($C$37:$BF$37,BI$5,$C96:$BF96)</f>
        <v>111015</v>
      </c>
      <c r="BJ96" s="202">
        <f t="shared" ref="BJ96:BV96" si="970">SUMIF($C$37:$BF$37,BJ$5,$C96:$BF96)</f>
        <v>147440</v>
      </c>
      <c r="BK96" s="202">
        <f t="shared" si="970"/>
        <v>242554</v>
      </c>
      <c r="BL96" s="202">
        <f t="shared" si="970"/>
        <v>353567.2</v>
      </c>
      <c r="BM96" s="202">
        <f t="shared" si="970"/>
        <v>520950.55</v>
      </c>
      <c r="BN96" s="202">
        <f t="shared" si="970"/>
        <v>685849.04999999993</v>
      </c>
      <c r="BO96" s="202">
        <f t="shared" si="970"/>
        <v>909572.4</v>
      </c>
      <c r="BP96" s="202">
        <f t="shared" si="970"/>
        <v>1092972.0750000002</v>
      </c>
      <c r="BQ96" s="202">
        <f t="shared" si="970"/>
        <v>1341012.2750000001</v>
      </c>
      <c r="BR96" s="202">
        <f t="shared" si="970"/>
        <v>1506227.6</v>
      </c>
      <c r="BS96" s="202">
        <f t="shared" si="970"/>
        <v>1754826.4000000001</v>
      </c>
      <c r="BT96" s="202">
        <f t="shared" si="970"/>
        <v>1880169.375</v>
      </c>
      <c r="BU96" s="202">
        <f t="shared" si="970"/>
        <v>2117279.25</v>
      </c>
      <c r="BV96" s="202">
        <f t="shared" si="970"/>
        <v>2299115.625</v>
      </c>
    </row>
    <row r="97" spans="2:74" ht="20.05" customHeight="1" x14ac:dyDescent="0.4">
      <c r="B97" s="206" t="s">
        <v>111</v>
      </c>
      <c r="C97" s="200"/>
      <c r="D97" s="200"/>
      <c r="E97" s="200"/>
      <c r="F97" s="215">
        <f>F96/SUM(C7:F7)</f>
        <v>0.23477747794235829</v>
      </c>
      <c r="G97" s="200"/>
      <c r="H97" s="200"/>
      <c r="I97" s="200"/>
      <c r="J97" s="215">
        <f>J96/SUM(G7:J7)</f>
        <v>0.19504399866654673</v>
      </c>
      <c r="K97" s="215">
        <f>K96/SUM(H7:K7)</f>
        <v>0.11184124556555239</v>
      </c>
      <c r="L97" s="215">
        <f>L96/SUM(I7:L7)</f>
        <v>0.13222944262585251</v>
      </c>
      <c r="M97" s="208">
        <v>0.15</v>
      </c>
      <c r="N97" s="216">
        <v>0.2</v>
      </c>
      <c r="O97" s="216">
        <v>0.1</v>
      </c>
      <c r="P97" s="216">
        <v>0.12</v>
      </c>
      <c r="Q97" s="216">
        <v>0.14000000000000001</v>
      </c>
      <c r="R97" s="216">
        <v>0.19</v>
      </c>
      <c r="S97" s="216">
        <v>0.1</v>
      </c>
      <c r="T97" s="216">
        <v>0.12</v>
      </c>
      <c r="U97" s="216">
        <v>0.14000000000000001</v>
      </c>
      <c r="V97" s="216">
        <v>0.19</v>
      </c>
      <c r="W97" s="216">
        <v>0.1</v>
      </c>
      <c r="X97" s="216">
        <v>0.11</v>
      </c>
      <c r="Y97" s="216">
        <v>0.13</v>
      </c>
      <c r="Z97" s="216">
        <v>0.18</v>
      </c>
      <c r="AA97" s="216">
        <v>0.1</v>
      </c>
      <c r="AB97" s="216">
        <v>0.11</v>
      </c>
      <c r="AC97" s="216">
        <v>0.13</v>
      </c>
      <c r="AD97" s="216">
        <v>0.18</v>
      </c>
      <c r="AE97" s="216">
        <v>0.1</v>
      </c>
      <c r="AF97" s="216">
        <v>0.1</v>
      </c>
      <c r="AG97" s="216">
        <v>0.12</v>
      </c>
      <c r="AH97" s="216">
        <v>0.17</v>
      </c>
      <c r="AI97" s="216">
        <v>0.1</v>
      </c>
      <c r="AJ97" s="216">
        <v>0.1</v>
      </c>
      <c r="AK97" s="216">
        <v>0.12</v>
      </c>
      <c r="AL97" s="216">
        <v>0.17</v>
      </c>
      <c r="AM97" s="216">
        <v>0.1</v>
      </c>
      <c r="AN97" s="216">
        <v>0.1</v>
      </c>
      <c r="AO97" s="216">
        <v>0.11</v>
      </c>
      <c r="AP97" s="216">
        <v>0.16</v>
      </c>
      <c r="AQ97" s="216">
        <v>0.1</v>
      </c>
      <c r="AR97" s="216">
        <v>0.1</v>
      </c>
      <c r="AS97" s="216">
        <v>0.11</v>
      </c>
      <c r="AT97" s="216">
        <v>0.16</v>
      </c>
      <c r="AU97" s="216">
        <v>0.1</v>
      </c>
      <c r="AV97" s="216">
        <v>0.1</v>
      </c>
      <c r="AW97" s="216">
        <v>0.1</v>
      </c>
      <c r="AX97" s="216">
        <v>0.15</v>
      </c>
      <c r="AY97" s="216">
        <v>0.1</v>
      </c>
      <c r="AZ97" s="216">
        <v>0.1</v>
      </c>
      <c r="BA97" s="216">
        <v>0.1</v>
      </c>
      <c r="BB97" s="216">
        <v>0.15</v>
      </c>
      <c r="BC97" s="216">
        <v>0.1</v>
      </c>
      <c r="BD97" s="216">
        <v>0.1</v>
      </c>
      <c r="BE97" s="216">
        <v>0.1</v>
      </c>
      <c r="BF97" s="216">
        <v>0.15</v>
      </c>
      <c r="BG97" s="1" t="s">
        <v>7</v>
      </c>
      <c r="BH97" s="206" t="s">
        <v>111</v>
      </c>
      <c r="BI97" s="207">
        <f>BI96/BI7</f>
        <v>0.23477747794235829</v>
      </c>
      <c r="BJ97" s="207">
        <f t="shared" ref="BJ97:BV97" si="971">BJ96/BJ7</f>
        <v>0.19504399866654673</v>
      </c>
      <c r="BK97" s="207">
        <f t="shared" si="971"/>
        <v>0.2</v>
      </c>
      <c r="BL97" s="207">
        <f t="shared" si="971"/>
        <v>0.19</v>
      </c>
      <c r="BM97" s="207">
        <f t="shared" si="971"/>
        <v>0.19</v>
      </c>
      <c r="BN97" s="207">
        <f t="shared" si="971"/>
        <v>0.18</v>
      </c>
      <c r="BO97" s="207">
        <f t="shared" si="971"/>
        <v>0.18</v>
      </c>
      <c r="BP97" s="207">
        <f t="shared" si="971"/>
        <v>0.17000000000000004</v>
      </c>
      <c r="BQ97" s="207">
        <f t="shared" si="971"/>
        <v>0.17</v>
      </c>
      <c r="BR97" s="207">
        <f t="shared" si="971"/>
        <v>0.16</v>
      </c>
      <c r="BS97" s="207">
        <f t="shared" si="971"/>
        <v>0.16</v>
      </c>
      <c r="BT97" s="207">
        <f t="shared" si="971"/>
        <v>0.15</v>
      </c>
      <c r="BU97" s="207">
        <f t="shared" si="971"/>
        <v>0.15</v>
      </c>
      <c r="BV97" s="207">
        <f t="shared" si="971"/>
        <v>0.15</v>
      </c>
    </row>
    <row r="98" spans="2:74" ht="20.05" customHeight="1" x14ac:dyDescent="0.4">
      <c r="B98" s="200" t="s">
        <v>128</v>
      </c>
      <c r="C98" s="202">
        <f>C30</f>
        <v>1685</v>
      </c>
      <c r="D98" s="202">
        <f t="shared" ref="D98:L98" si="972">D30</f>
        <v>1824</v>
      </c>
      <c r="E98" s="202">
        <f t="shared" si="972"/>
        <v>2338</v>
      </c>
      <c r="F98" s="202">
        <f t="shared" si="972"/>
        <v>2466</v>
      </c>
      <c r="G98" s="202">
        <f t="shared" si="972"/>
        <v>2638</v>
      </c>
      <c r="H98" s="202">
        <f t="shared" si="972"/>
        <v>3187</v>
      </c>
      <c r="I98" s="202">
        <f t="shared" si="972"/>
        <v>3547</v>
      </c>
      <c r="J98" s="202">
        <f t="shared" si="972"/>
        <v>3780</v>
      </c>
      <c r="K98" s="202">
        <f t="shared" si="972"/>
        <v>4059</v>
      </c>
      <c r="L98" s="202">
        <f t="shared" si="972"/>
        <v>8127</v>
      </c>
      <c r="M98" s="217">
        <v>8000</v>
      </c>
      <c r="N98" s="218">
        <v>8000</v>
      </c>
      <c r="O98" s="218">
        <v>8000</v>
      </c>
      <c r="P98" s="218">
        <v>8000</v>
      </c>
      <c r="Q98" s="218">
        <v>8000</v>
      </c>
      <c r="R98" s="218">
        <v>8000</v>
      </c>
      <c r="S98" s="218">
        <v>8000</v>
      </c>
      <c r="T98" s="218">
        <v>8000</v>
      </c>
      <c r="U98" s="218">
        <v>8000</v>
      </c>
      <c r="V98" s="218">
        <v>8000</v>
      </c>
      <c r="W98" s="218">
        <v>8000</v>
      </c>
      <c r="X98" s="218">
        <v>8000</v>
      </c>
      <c r="Y98" s="218">
        <v>8000</v>
      </c>
      <c r="Z98" s="218">
        <v>8000</v>
      </c>
      <c r="AA98" s="218">
        <v>8000</v>
      </c>
      <c r="AB98" s="218">
        <v>8000</v>
      </c>
      <c r="AC98" s="218">
        <v>8000</v>
      </c>
      <c r="AD98" s="218">
        <v>8000</v>
      </c>
      <c r="AE98" s="218">
        <v>8000</v>
      </c>
      <c r="AF98" s="218">
        <v>8000</v>
      </c>
      <c r="AG98" s="218">
        <v>8000</v>
      </c>
      <c r="AH98" s="218">
        <v>8000</v>
      </c>
      <c r="AI98" s="218">
        <v>8000</v>
      </c>
      <c r="AJ98" s="218">
        <v>8000</v>
      </c>
      <c r="AK98" s="218">
        <v>8000</v>
      </c>
      <c r="AL98" s="218">
        <v>8000</v>
      </c>
      <c r="AM98" s="218">
        <v>8000</v>
      </c>
      <c r="AN98" s="218">
        <v>8000</v>
      </c>
      <c r="AO98" s="218">
        <v>8000</v>
      </c>
      <c r="AP98" s="218">
        <v>8000</v>
      </c>
      <c r="AQ98" s="218">
        <v>8000</v>
      </c>
      <c r="AR98" s="218">
        <v>8000</v>
      </c>
      <c r="AS98" s="218">
        <v>8000</v>
      </c>
      <c r="AT98" s="218">
        <v>8000</v>
      </c>
      <c r="AU98" s="218">
        <v>8000</v>
      </c>
      <c r="AV98" s="218">
        <v>8000</v>
      </c>
      <c r="AW98" s="218">
        <v>8000</v>
      </c>
      <c r="AX98" s="218">
        <v>8000</v>
      </c>
      <c r="AY98" s="218">
        <v>8000</v>
      </c>
      <c r="AZ98" s="218">
        <v>8000</v>
      </c>
      <c r="BA98" s="218">
        <v>8000</v>
      </c>
      <c r="BB98" s="218">
        <v>8000</v>
      </c>
      <c r="BC98" s="218">
        <v>8000</v>
      </c>
      <c r="BD98" s="218">
        <v>8000</v>
      </c>
      <c r="BE98" s="218">
        <v>8000</v>
      </c>
      <c r="BF98" s="218">
        <v>8000</v>
      </c>
      <c r="BG98" s="1" t="s">
        <v>7</v>
      </c>
      <c r="BH98" s="200" t="s">
        <v>128</v>
      </c>
      <c r="BI98" s="202">
        <f>BI30</f>
        <v>8313</v>
      </c>
      <c r="BJ98" s="202">
        <f t="shared" ref="BJ98:BV98" si="973">BJ30</f>
        <v>13152</v>
      </c>
      <c r="BK98" s="202">
        <f t="shared" si="973"/>
        <v>28186</v>
      </c>
      <c r="BL98" s="202">
        <f t="shared" si="973"/>
        <v>32000</v>
      </c>
      <c r="BM98" s="202">
        <f t="shared" si="973"/>
        <v>32000</v>
      </c>
      <c r="BN98" s="202">
        <f t="shared" si="973"/>
        <v>32000</v>
      </c>
      <c r="BO98" s="202">
        <f t="shared" si="973"/>
        <v>32000</v>
      </c>
      <c r="BP98" s="202">
        <f t="shared" si="973"/>
        <v>32000</v>
      </c>
      <c r="BQ98" s="202">
        <f t="shared" si="973"/>
        <v>32000</v>
      </c>
      <c r="BR98" s="202">
        <f t="shared" si="973"/>
        <v>32000</v>
      </c>
      <c r="BS98" s="202">
        <f t="shared" si="973"/>
        <v>32000</v>
      </c>
      <c r="BT98" s="202">
        <f t="shared" si="973"/>
        <v>32000</v>
      </c>
      <c r="BU98" s="202">
        <f t="shared" si="973"/>
        <v>32000</v>
      </c>
      <c r="BV98" s="202">
        <f t="shared" si="973"/>
        <v>32000</v>
      </c>
    </row>
    <row r="99" spans="2:74" ht="20.05" customHeight="1" x14ac:dyDescent="0.4">
      <c r="B99" s="200" t="s">
        <v>129</v>
      </c>
      <c r="C99" s="202">
        <f>C31</f>
        <v>168</v>
      </c>
      <c r="D99" s="202">
        <f t="shared" ref="D99:L99" si="974">D31</f>
        <v>39</v>
      </c>
      <c r="E99" s="202">
        <f t="shared" si="974"/>
        <v>94</v>
      </c>
      <c r="F99" s="202">
        <f t="shared" si="974"/>
        <v>-413</v>
      </c>
      <c r="G99" s="202">
        <f t="shared" si="974"/>
        <v>-242</v>
      </c>
      <c r="H99" s="202">
        <f t="shared" si="974"/>
        <v>-214</v>
      </c>
      <c r="I99" s="202">
        <f t="shared" si="974"/>
        <v>82</v>
      </c>
      <c r="J99" s="202">
        <f t="shared" si="974"/>
        <v>-621</v>
      </c>
      <c r="K99" s="202">
        <f t="shared" si="974"/>
        <v>-500</v>
      </c>
      <c r="L99" s="202">
        <f t="shared" si="974"/>
        <v>-448</v>
      </c>
      <c r="M99" s="217">
        <v>-500</v>
      </c>
      <c r="N99" s="218">
        <v>-500</v>
      </c>
      <c r="O99" s="218">
        <v>-500</v>
      </c>
      <c r="P99" s="218">
        <v>-500</v>
      </c>
      <c r="Q99" s="218">
        <v>-500</v>
      </c>
      <c r="R99" s="218">
        <v>-500</v>
      </c>
      <c r="S99" s="218">
        <v>-500</v>
      </c>
      <c r="T99" s="218">
        <v>-500</v>
      </c>
      <c r="U99" s="218">
        <v>-500</v>
      </c>
      <c r="V99" s="218">
        <v>-500</v>
      </c>
      <c r="W99" s="218">
        <v>-500</v>
      </c>
      <c r="X99" s="218">
        <v>-500</v>
      </c>
      <c r="Y99" s="218">
        <v>-500</v>
      </c>
      <c r="Z99" s="218">
        <v>-500</v>
      </c>
      <c r="AA99" s="218">
        <v>-500</v>
      </c>
      <c r="AB99" s="218">
        <v>-500</v>
      </c>
      <c r="AC99" s="218">
        <v>-500</v>
      </c>
      <c r="AD99" s="218">
        <v>-500</v>
      </c>
      <c r="AE99" s="218">
        <v>-500</v>
      </c>
      <c r="AF99" s="218">
        <v>-500</v>
      </c>
      <c r="AG99" s="218">
        <v>-500</v>
      </c>
      <c r="AH99" s="218">
        <v>-500</v>
      </c>
      <c r="AI99" s="218">
        <v>-500</v>
      </c>
      <c r="AJ99" s="218">
        <v>-500</v>
      </c>
      <c r="AK99" s="218">
        <v>-500</v>
      </c>
      <c r="AL99" s="218">
        <v>-500</v>
      </c>
      <c r="AM99" s="218">
        <v>-500</v>
      </c>
      <c r="AN99" s="218">
        <v>-500</v>
      </c>
      <c r="AO99" s="218">
        <v>-500</v>
      </c>
      <c r="AP99" s="218">
        <v>-500</v>
      </c>
      <c r="AQ99" s="218">
        <v>-500</v>
      </c>
      <c r="AR99" s="218">
        <v>-500</v>
      </c>
      <c r="AS99" s="218">
        <v>-500</v>
      </c>
      <c r="AT99" s="218">
        <v>-500</v>
      </c>
      <c r="AU99" s="218">
        <v>-500</v>
      </c>
      <c r="AV99" s="218">
        <v>-500</v>
      </c>
      <c r="AW99" s="218">
        <v>-500</v>
      </c>
      <c r="AX99" s="218">
        <v>-500</v>
      </c>
      <c r="AY99" s="218">
        <v>-500</v>
      </c>
      <c r="AZ99" s="218">
        <v>-500</v>
      </c>
      <c r="BA99" s="218">
        <v>-500</v>
      </c>
      <c r="BB99" s="218">
        <v>-500</v>
      </c>
      <c r="BC99" s="218">
        <v>-500</v>
      </c>
      <c r="BD99" s="218">
        <v>-500</v>
      </c>
      <c r="BE99" s="218">
        <v>-500</v>
      </c>
      <c r="BF99" s="218">
        <v>-500</v>
      </c>
      <c r="BG99" s="1" t="s">
        <v>7</v>
      </c>
      <c r="BH99" s="200" t="s">
        <v>129</v>
      </c>
      <c r="BI99" s="202">
        <f>BI31</f>
        <v>-112</v>
      </c>
      <c r="BJ99" s="202">
        <f t="shared" ref="BJ99:BV99" si="975">BJ31</f>
        <v>-995</v>
      </c>
      <c r="BK99" s="202">
        <f t="shared" si="975"/>
        <v>-1948</v>
      </c>
      <c r="BL99" s="202">
        <f t="shared" si="975"/>
        <v>-2000</v>
      </c>
      <c r="BM99" s="202">
        <f t="shared" si="975"/>
        <v>-2000</v>
      </c>
      <c r="BN99" s="202">
        <f t="shared" si="975"/>
        <v>-2000</v>
      </c>
      <c r="BO99" s="202">
        <f t="shared" si="975"/>
        <v>-2000</v>
      </c>
      <c r="BP99" s="202">
        <f t="shared" si="975"/>
        <v>-2000</v>
      </c>
      <c r="BQ99" s="202">
        <f t="shared" si="975"/>
        <v>-2000</v>
      </c>
      <c r="BR99" s="202">
        <f t="shared" si="975"/>
        <v>-2000</v>
      </c>
      <c r="BS99" s="202">
        <f t="shared" si="975"/>
        <v>-2000</v>
      </c>
      <c r="BT99" s="202">
        <f t="shared" si="975"/>
        <v>-2000</v>
      </c>
      <c r="BU99" s="202">
        <f t="shared" si="975"/>
        <v>-2000</v>
      </c>
      <c r="BV99" s="202">
        <f t="shared" si="975"/>
        <v>-2000</v>
      </c>
    </row>
    <row r="100" spans="2:74" ht="20.05" customHeight="1" x14ac:dyDescent="0.4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53"/>
      <c r="BG100" s="1" t="s">
        <v>7</v>
      </c>
    </row>
    <row r="101" spans="2:74" ht="20.05" customHeight="1" x14ac:dyDescent="0.4">
      <c r="B101" s="87" t="s">
        <v>39</v>
      </c>
      <c r="C101" s="30"/>
      <c r="D101" s="30"/>
      <c r="E101" s="30"/>
      <c r="F101" s="30"/>
      <c r="G101" s="30"/>
      <c r="H101" s="30"/>
      <c r="I101" s="30"/>
      <c r="J101" s="30"/>
      <c r="K101" s="30"/>
      <c r="L101" s="222" t="s">
        <v>167</v>
      </c>
      <c r="M101" s="57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1" t="s">
        <v>7</v>
      </c>
      <c r="BH101" s="87" t="s">
        <v>39</v>
      </c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</row>
    <row r="102" spans="2:74" ht="20.05" customHeight="1" x14ac:dyDescent="0.4">
      <c r="B102" s="30" t="s">
        <v>9</v>
      </c>
      <c r="C102" s="42">
        <f t="shared" ref="C102:L102" si="976">C14</f>
        <v>48069</v>
      </c>
      <c r="D102" s="42">
        <f t="shared" si="976"/>
        <v>51495</v>
      </c>
      <c r="E102" s="42">
        <f t="shared" si="976"/>
        <v>53930</v>
      </c>
      <c r="F102" s="42">
        <f t="shared" si="976"/>
        <v>54479</v>
      </c>
      <c r="G102" s="42">
        <f t="shared" si="976"/>
        <v>60047</v>
      </c>
      <c r="H102" s="42">
        <f t="shared" si="976"/>
        <v>61604</v>
      </c>
      <c r="I102" s="42">
        <f t="shared" si="976"/>
        <v>63541</v>
      </c>
      <c r="J102" s="42">
        <f t="shared" si="976"/>
        <v>66470</v>
      </c>
      <c r="K102" s="42">
        <f t="shared" si="976"/>
        <v>76394</v>
      </c>
      <c r="L102" s="223">
        <f t="shared" si="976"/>
        <v>801879</v>
      </c>
      <c r="M102" s="75">
        <f t="shared" ref="M102:BF102" si="977">M7*M103</f>
        <v>113116.5</v>
      </c>
      <c r="N102" s="76">
        <f t="shared" si="977"/>
        <v>106605</v>
      </c>
      <c r="O102" s="76">
        <f t="shared" si="977"/>
        <v>109863.6</v>
      </c>
      <c r="P102" s="76">
        <f t="shared" si="977"/>
        <v>137862.45000000001</v>
      </c>
      <c r="Q102" s="76">
        <f t="shared" si="977"/>
        <v>161855.10000000003</v>
      </c>
      <c r="R102" s="76">
        <f t="shared" si="977"/>
        <v>148734</v>
      </c>
      <c r="S102" s="76">
        <f t="shared" si="977"/>
        <v>158633.20000000001</v>
      </c>
      <c r="T102" s="76">
        <f t="shared" si="977"/>
        <v>194813.3</v>
      </c>
      <c r="U102" s="76">
        <f t="shared" si="977"/>
        <v>223967.25</v>
      </c>
      <c r="V102" s="76">
        <f t="shared" si="977"/>
        <v>202220.6</v>
      </c>
      <c r="W102" s="76">
        <f t="shared" si="977"/>
        <v>220782.75</v>
      </c>
      <c r="X102" s="76">
        <f t="shared" si="977"/>
        <v>265916.25</v>
      </c>
      <c r="Y102" s="76">
        <f t="shared" si="977"/>
        <v>300510</v>
      </c>
      <c r="Z102" s="76">
        <f t="shared" si="977"/>
        <v>260973.35</v>
      </c>
      <c r="AA102" s="76">
        <f t="shared" si="977"/>
        <v>290736.59999999998</v>
      </c>
      <c r="AB102" s="76">
        <f t="shared" si="977"/>
        <v>344543.19999999995</v>
      </c>
      <c r="AC102" s="76">
        <f t="shared" si="977"/>
        <v>384216.64999999997</v>
      </c>
      <c r="AD102" s="76">
        <f t="shared" si="977"/>
        <v>322911.75</v>
      </c>
      <c r="AE102" s="76">
        <f t="shared" si="977"/>
        <v>364630.69999999995</v>
      </c>
      <c r="AF102" s="76">
        <f t="shared" si="977"/>
        <v>426551.29999999993</v>
      </c>
      <c r="AG102" s="76">
        <f t="shared" si="977"/>
        <v>470790.6</v>
      </c>
      <c r="AH102" s="76">
        <f t="shared" si="977"/>
        <v>384440.49999999994</v>
      </c>
      <c r="AI102" s="76">
        <f t="shared" si="977"/>
        <v>437438.47499999992</v>
      </c>
      <c r="AJ102" s="76">
        <f t="shared" si="977"/>
        <v>507278.69999999995</v>
      </c>
      <c r="AK102" s="76">
        <f t="shared" si="977"/>
        <v>556044.74999999988</v>
      </c>
      <c r="AL102" s="76">
        <f t="shared" si="977"/>
        <v>454336.35</v>
      </c>
      <c r="AM102" s="76">
        <f t="shared" si="977"/>
        <v>517507.89999999997</v>
      </c>
      <c r="AN102" s="76">
        <f t="shared" si="977"/>
        <v>596404.03124999977</v>
      </c>
      <c r="AO102" s="76">
        <f t="shared" si="977"/>
        <v>650473.63749999995</v>
      </c>
      <c r="AP102" s="76">
        <f t="shared" si="977"/>
        <v>523614.11249999993</v>
      </c>
      <c r="AQ102" s="76">
        <f t="shared" si="977"/>
        <v>595801.37499999988</v>
      </c>
      <c r="AR102" s="76">
        <f t="shared" si="977"/>
        <v>683637.82499999984</v>
      </c>
      <c r="AS102" s="76">
        <f t="shared" si="977"/>
        <v>742855.42499999981</v>
      </c>
      <c r="AT102" s="76">
        <f t="shared" si="977"/>
        <v>590077.61874999991</v>
      </c>
      <c r="AU102" s="76">
        <f t="shared" si="977"/>
        <v>670914.88124999986</v>
      </c>
      <c r="AV102" s="76">
        <f t="shared" si="977"/>
        <v>767809.78124999988</v>
      </c>
      <c r="AW102" s="76">
        <f t="shared" si="977"/>
        <v>832223.41874999995</v>
      </c>
      <c r="AX102" s="76">
        <f t="shared" si="977"/>
        <v>653181.07499999984</v>
      </c>
      <c r="AY102" s="76">
        <f t="shared" si="977"/>
        <v>743092.18749999988</v>
      </c>
      <c r="AZ102" s="76">
        <f t="shared" si="977"/>
        <v>849021.56249999988</v>
      </c>
      <c r="BA102" s="76">
        <f t="shared" si="977"/>
        <v>918506.56249999977</v>
      </c>
      <c r="BB102" s="76">
        <f t="shared" si="977"/>
        <v>712724.90624999988</v>
      </c>
      <c r="BC102" s="76">
        <f t="shared" si="977"/>
        <v>789088.95624999981</v>
      </c>
      <c r="BD102" s="76">
        <f t="shared" si="977"/>
        <v>903931.48124999972</v>
      </c>
      <c r="BE102" s="76">
        <f t="shared" si="977"/>
        <v>978153.61874999979</v>
      </c>
      <c r="BF102" s="76">
        <f t="shared" si="977"/>
        <v>752196.66249999986</v>
      </c>
      <c r="BG102" s="1" t="s">
        <v>7</v>
      </c>
      <c r="BH102" s="30" t="s">
        <v>9</v>
      </c>
      <c r="BI102" s="185">
        <f t="shared" ref="BI102:BV102" si="978">SUMIF($C$4:$BF$4,BI$5,$C102:$BF102)</f>
        <v>207973</v>
      </c>
      <c r="BJ102" s="185">
        <f t="shared" si="978"/>
        <v>251662</v>
      </c>
      <c r="BK102" s="185">
        <f t="shared" si="978"/>
        <v>1097994.5</v>
      </c>
      <c r="BL102" s="185">
        <f t="shared" si="978"/>
        <v>558315.15</v>
      </c>
      <c r="BM102" s="185">
        <f t="shared" si="978"/>
        <v>779634.35</v>
      </c>
      <c r="BN102" s="185">
        <f t="shared" si="978"/>
        <v>1048182.35</v>
      </c>
      <c r="BO102" s="185">
        <f t="shared" si="978"/>
        <v>1342408.2</v>
      </c>
      <c r="BP102" s="185">
        <f t="shared" si="978"/>
        <v>1646413.0999999999</v>
      </c>
      <c r="BQ102" s="185">
        <f t="shared" si="978"/>
        <v>1955098.2749999999</v>
      </c>
      <c r="BR102" s="185">
        <f t="shared" si="978"/>
        <v>2287999.6812499994</v>
      </c>
      <c r="BS102" s="185">
        <f t="shared" si="978"/>
        <v>2612372.2437499994</v>
      </c>
      <c r="BT102" s="185">
        <f t="shared" si="978"/>
        <v>2924129.1562499995</v>
      </c>
      <c r="BU102" s="185">
        <f t="shared" si="978"/>
        <v>3223345.2187499995</v>
      </c>
      <c r="BV102" s="185">
        <f t="shared" si="978"/>
        <v>3423370.7187499991</v>
      </c>
    </row>
    <row r="103" spans="2:74" ht="20.05" customHeight="1" x14ac:dyDescent="0.4">
      <c r="B103" s="34" t="s">
        <v>11</v>
      </c>
      <c r="C103" s="36">
        <f t="shared" ref="C103:L103" si="979">C15</f>
        <v>0.58318471337579614</v>
      </c>
      <c r="D103" s="36">
        <f t="shared" si="979"/>
        <v>0.50920615457637841</v>
      </c>
      <c r="E103" s="36">
        <f t="shared" si="979"/>
        <v>0.46510223970056835</v>
      </c>
      <c r="F103" s="36">
        <f t="shared" si="979"/>
        <v>0.31427895653779148</v>
      </c>
      <c r="G103" s="36">
        <f t="shared" si="979"/>
        <v>0.45712132400520711</v>
      </c>
      <c r="H103" s="36">
        <f t="shared" si="979"/>
        <v>0.38217777557198868</v>
      </c>
      <c r="I103" s="36">
        <f t="shared" si="979"/>
        <v>0.33407992765395877</v>
      </c>
      <c r="J103" s="36">
        <f t="shared" si="979"/>
        <v>0.2433158603724962</v>
      </c>
      <c r="K103" s="36">
        <f t="shared" si="979"/>
        <v>0.37835481969778761</v>
      </c>
      <c r="L103" s="224">
        <f t="shared" si="979"/>
        <v>3.0694050503542596</v>
      </c>
      <c r="M103" s="58">
        <v>0.35</v>
      </c>
      <c r="N103" s="46">
        <v>0.25</v>
      </c>
      <c r="O103" s="46">
        <v>0.33</v>
      </c>
      <c r="P103" s="46">
        <v>0.33</v>
      </c>
      <c r="Q103" s="46">
        <v>0.33</v>
      </c>
      <c r="R103" s="46">
        <v>0.24</v>
      </c>
      <c r="S103" s="46">
        <v>0.31</v>
      </c>
      <c r="T103" s="46">
        <v>0.31</v>
      </c>
      <c r="U103" s="46">
        <v>0.31</v>
      </c>
      <c r="V103" s="46">
        <v>0.23</v>
      </c>
      <c r="W103" s="46">
        <f>S103-0.01</f>
        <v>0.3</v>
      </c>
      <c r="X103" s="46">
        <f t="shared" ref="X103:Y103" si="980">T103-0.01</f>
        <v>0.3</v>
      </c>
      <c r="Y103" s="46">
        <f t="shared" si="980"/>
        <v>0.3</v>
      </c>
      <c r="Z103" s="46">
        <f>V103-0.01</f>
        <v>0.22</v>
      </c>
      <c r="AA103" s="46">
        <f t="shared" ref="AA103:AH103" si="981">W103-0.01</f>
        <v>0.28999999999999998</v>
      </c>
      <c r="AB103" s="46">
        <f t="shared" si="981"/>
        <v>0.28999999999999998</v>
      </c>
      <c r="AC103" s="46">
        <f t="shared" si="981"/>
        <v>0.28999999999999998</v>
      </c>
      <c r="AD103" s="46">
        <f t="shared" si="981"/>
        <v>0.21</v>
      </c>
      <c r="AE103" s="46">
        <f t="shared" si="981"/>
        <v>0.27999999999999997</v>
      </c>
      <c r="AF103" s="46">
        <f t="shared" si="981"/>
        <v>0.27999999999999997</v>
      </c>
      <c r="AG103" s="46">
        <f t="shared" si="981"/>
        <v>0.27999999999999997</v>
      </c>
      <c r="AH103" s="46">
        <f t="shared" si="981"/>
        <v>0.19999999999999998</v>
      </c>
      <c r="AI103" s="46">
        <f t="shared" ref="AI103" si="982">AE103-0.01</f>
        <v>0.26999999999999996</v>
      </c>
      <c r="AJ103" s="46">
        <f t="shared" ref="AJ103" si="983">AF103-0.01</f>
        <v>0.26999999999999996</v>
      </c>
      <c r="AK103" s="46">
        <f t="shared" ref="AK103" si="984">AG103-0.01</f>
        <v>0.26999999999999996</v>
      </c>
      <c r="AL103" s="46">
        <f>AH103-0.005</f>
        <v>0.19499999999999998</v>
      </c>
      <c r="AM103" s="46">
        <f t="shared" ref="AM103:BF103" si="985">AI103-0.005</f>
        <v>0.26499999999999996</v>
      </c>
      <c r="AN103" s="46">
        <f t="shared" si="985"/>
        <v>0.26499999999999996</v>
      </c>
      <c r="AO103" s="46">
        <f t="shared" si="985"/>
        <v>0.26499999999999996</v>
      </c>
      <c r="AP103" s="46">
        <f t="shared" si="985"/>
        <v>0.18999999999999997</v>
      </c>
      <c r="AQ103" s="46">
        <f t="shared" si="985"/>
        <v>0.25999999999999995</v>
      </c>
      <c r="AR103" s="46">
        <f t="shared" si="985"/>
        <v>0.25999999999999995</v>
      </c>
      <c r="AS103" s="46">
        <f t="shared" si="985"/>
        <v>0.25999999999999995</v>
      </c>
      <c r="AT103" s="46">
        <f t="shared" si="985"/>
        <v>0.18499999999999997</v>
      </c>
      <c r="AU103" s="46">
        <f t="shared" si="985"/>
        <v>0.25499999999999995</v>
      </c>
      <c r="AV103" s="46">
        <f t="shared" si="985"/>
        <v>0.25499999999999995</v>
      </c>
      <c r="AW103" s="46">
        <f t="shared" si="985"/>
        <v>0.25499999999999995</v>
      </c>
      <c r="AX103" s="46">
        <f t="shared" si="985"/>
        <v>0.17999999999999997</v>
      </c>
      <c r="AY103" s="46">
        <f t="shared" si="985"/>
        <v>0.24999999999999994</v>
      </c>
      <c r="AZ103" s="46">
        <f t="shared" si="985"/>
        <v>0.24999999999999994</v>
      </c>
      <c r="BA103" s="46">
        <f t="shared" si="985"/>
        <v>0.24999999999999994</v>
      </c>
      <c r="BB103" s="46">
        <f t="shared" si="985"/>
        <v>0.17499999999999996</v>
      </c>
      <c r="BC103" s="46">
        <f t="shared" si="985"/>
        <v>0.24499999999999994</v>
      </c>
      <c r="BD103" s="46">
        <f t="shared" si="985"/>
        <v>0.24499999999999994</v>
      </c>
      <c r="BE103" s="46">
        <f t="shared" si="985"/>
        <v>0.24499999999999994</v>
      </c>
      <c r="BF103" s="46">
        <f t="shared" si="985"/>
        <v>0.16999999999999996</v>
      </c>
      <c r="BG103" s="1" t="s">
        <v>7</v>
      </c>
      <c r="BH103" s="34" t="s">
        <v>11</v>
      </c>
      <c r="BI103" s="31">
        <f>BI102/BI$7</f>
        <v>0.43982683799582112</v>
      </c>
      <c r="BJ103" s="31">
        <f t="shared" ref="BJ103:BV103" si="986">BJ102/BJ$7</f>
        <v>0.33291618822857083</v>
      </c>
      <c r="BK103" s="31">
        <f t="shared" si="986"/>
        <v>0.90536086809535199</v>
      </c>
      <c r="BL103" s="31">
        <f t="shared" si="986"/>
        <v>0.30002748699540005</v>
      </c>
      <c r="BM103" s="31">
        <f t="shared" si="986"/>
        <v>0.28434661696777169</v>
      </c>
      <c r="BN103" s="31">
        <f t="shared" si="986"/>
        <v>0.27509380234615766</v>
      </c>
      <c r="BO103" s="31">
        <f t="shared" si="986"/>
        <v>0.26565612149181306</v>
      </c>
      <c r="BP103" s="31">
        <f t="shared" si="986"/>
        <v>0.25608177317796521</v>
      </c>
      <c r="BQ103" s="31">
        <f t="shared" si="986"/>
        <v>0.24784762447457834</v>
      </c>
      <c r="BR103" s="31">
        <f t="shared" si="986"/>
        <v>0.24304424444220774</v>
      </c>
      <c r="BS103" s="31">
        <f t="shared" si="986"/>
        <v>0.23818855187042998</v>
      </c>
      <c r="BT103" s="31">
        <f t="shared" si="986"/>
        <v>0.23328715980043019</v>
      </c>
      <c r="BU103" s="31">
        <f t="shared" si="986"/>
        <v>0.22835994959687059</v>
      </c>
      <c r="BV103" s="31">
        <f t="shared" si="986"/>
        <v>0.22334918793503475</v>
      </c>
    </row>
    <row r="104" spans="2:74" ht="20.05" customHeight="1" x14ac:dyDescent="0.4">
      <c r="B104" s="30" t="s">
        <v>10</v>
      </c>
      <c r="C104" s="42">
        <f t="shared" ref="C104:L104" si="987">C16</f>
        <v>31554</v>
      </c>
      <c r="D104" s="42">
        <f t="shared" si="987"/>
        <v>37388</v>
      </c>
      <c r="E104" s="42">
        <f t="shared" si="987"/>
        <v>41970</v>
      </c>
      <c r="F104" s="42">
        <f t="shared" si="987"/>
        <v>51602</v>
      </c>
      <c r="G104" s="42">
        <f t="shared" si="987"/>
        <v>55774</v>
      </c>
      <c r="H104" s="42">
        <f t="shared" si="987"/>
        <v>65148</v>
      </c>
      <c r="I104" s="42">
        <f t="shared" si="987"/>
        <v>66722</v>
      </c>
      <c r="J104" s="42">
        <f t="shared" si="987"/>
        <v>72285</v>
      </c>
      <c r="K104" s="42">
        <f t="shared" si="987"/>
        <v>72444</v>
      </c>
      <c r="L104" s="223">
        <f t="shared" si="987"/>
        <v>296919</v>
      </c>
      <c r="M104" s="75">
        <f t="shared" ref="M104:BF104" si="988">M7*M105</f>
        <v>113116.5</v>
      </c>
      <c r="N104" s="76">
        <f t="shared" si="988"/>
        <v>127926</v>
      </c>
      <c r="O104" s="76">
        <f t="shared" si="988"/>
        <v>116521.99999999999</v>
      </c>
      <c r="P104" s="76">
        <f t="shared" si="988"/>
        <v>146217.75</v>
      </c>
      <c r="Q104" s="76">
        <f t="shared" si="988"/>
        <v>171664.5</v>
      </c>
      <c r="R104" s="76">
        <f t="shared" si="988"/>
        <v>185917.5</v>
      </c>
      <c r="S104" s="76">
        <f t="shared" si="988"/>
        <v>171426.19999999998</v>
      </c>
      <c r="T104" s="76">
        <f t="shared" si="988"/>
        <v>210524.05</v>
      </c>
      <c r="U104" s="76">
        <f t="shared" si="988"/>
        <v>242029.12499999997</v>
      </c>
      <c r="V104" s="76">
        <f t="shared" si="988"/>
        <v>250577.69999999998</v>
      </c>
      <c r="W104" s="76">
        <f t="shared" si="988"/>
        <v>235501.59999999998</v>
      </c>
      <c r="X104" s="76">
        <f t="shared" si="988"/>
        <v>283643.99999999994</v>
      </c>
      <c r="Y104" s="76">
        <f t="shared" si="988"/>
        <v>320543.99999999994</v>
      </c>
      <c r="Z104" s="76">
        <f t="shared" si="988"/>
        <v>320285.47499999998</v>
      </c>
      <c r="AA104" s="76">
        <f t="shared" si="988"/>
        <v>310787.39999999997</v>
      </c>
      <c r="AB104" s="76">
        <f t="shared" si="988"/>
        <v>368304.79999999993</v>
      </c>
      <c r="AC104" s="76">
        <f t="shared" si="988"/>
        <v>410714.34999999992</v>
      </c>
      <c r="AD104" s="76">
        <f t="shared" si="988"/>
        <v>399795.49999999994</v>
      </c>
      <c r="AE104" s="76">
        <f t="shared" si="988"/>
        <v>390675.74999999994</v>
      </c>
      <c r="AF104" s="76">
        <f t="shared" si="988"/>
        <v>457019.24999999988</v>
      </c>
      <c r="AG104" s="76">
        <f t="shared" si="988"/>
        <v>504418.49999999988</v>
      </c>
      <c r="AH104" s="76">
        <f t="shared" si="988"/>
        <v>480550.62499999988</v>
      </c>
      <c r="AI104" s="76">
        <f t="shared" si="988"/>
        <v>477942.03749999986</v>
      </c>
      <c r="AJ104" s="76">
        <f t="shared" si="988"/>
        <v>554248.94999999984</v>
      </c>
      <c r="AK104" s="76">
        <f t="shared" si="988"/>
        <v>607530.37499999977</v>
      </c>
      <c r="AL104" s="76">
        <f t="shared" si="988"/>
        <v>570832.84999999986</v>
      </c>
      <c r="AM104" s="76">
        <f t="shared" si="988"/>
        <v>566329.39999999991</v>
      </c>
      <c r="AN104" s="76">
        <f t="shared" si="988"/>
        <v>652668.56249999965</v>
      </c>
      <c r="AO104" s="76">
        <f t="shared" si="988"/>
        <v>711839.07499999984</v>
      </c>
      <c r="AP104" s="76">
        <f t="shared" si="988"/>
        <v>661407.29999999981</v>
      </c>
      <c r="AQ104" s="76">
        <f t="shared" si="988"/>
        <v>653089.96874999977</v>
      </c>
      <c r="AR104" s="76">
        <f t="shared" si="988"/>
        <v>749372.23124999984</v>
      </c>
      <c r="AS104" s="76">
        <f t="shared" si="988"/>
        <v>814283.83124999981</v>
      </c>
      <c r="AT104" s="76">
        <f t="shared" si="988"/>
        <v>749558.05624999979</v>
      </c>
      <c r="AU104" s="76">
        <f t="shared" si="988"/>
        <v>736690.84999999974</v>
      </c>
      <c r="AV104" s="76">
        <f t="shared" si="988"/>
        <v>843085.24999999977</v>
      </c>
      <c r="AW104" s="76">
        <f t="shared" si="988"/>
        <v>913813.94999999984</v>
      </c>
      <c r="AX104" s="76">
        <f t="shared" si="988"/>
        <v>834620.26249999972</v>
      </c>
      <c r="AY104" s="76">
        <f t="shared" si="988"/>
        <v>817401.40624999977</v>
      </c>
      <c r="AZ104" s="76">
        <f t="shared" si="988"/>
        <v>933923.71874999988</v>
      </c>
      <c r="BA104" s="76">
        <f t="shared" si="988"/>
        <v>1010357.2187499997</v>
      </c>
      <c r="BB104" s="76">
        <f t="shared" si="988"/>
        <v>916360.59374999965</v>
      </c>
      <c r="BC104" s="76">
        <f t="shared" si="988"/>
        <v>869608.2374999997</v>
      </c>
      <c r="BD104" s="76">
        <f t="shared" si="988"/>
        <v>996169.3874999996</v>
      </c>
      <c r="BE104" s="76">
        <f t="shared" si="988"/>
        <v>1077965.2124999997</v>
      </c>
      <c r="BF104" s="76">
        <f t="shared" si="988"/>
        <v>973430.97499999963</v>
      </c>
      <c r="BG104" s="1" t="s">
        <v>7</v>
      </c>
      <c r="BH104" s="30" t="s">
        <v>10</v>
      </c>
      <c r="BI104" s="185">
        <f t="shared" ref="BI104:BV104" si="989">SUMIF($C$4:$BF$4,BI$5,$C104:$BF104)</f>
        <v>162514</v>
      </c>
      <c r="BJ104" s="185">
        <f t="shared" si="989"/>
        <v>259929</v>
      </c>
      <c r="BK104" s="185">
        <f t="shared" si="989"/>
        <v>610405.5</v>
      </c>
      <c r="BL104" s="185">
        <f t="shared" si="989"/>
        <v>620321.75</v>
      </c>
      <c r="BM104" s="185">
        <f t="shared" si="989"/>
        <v>874557.07499999995</v>
      </c>
      <c r="BN104" s="185">
        <f t="shared" si="989"/>
        <v>1159975.0749999997</v>
      </c>
      <c r="BO104" s="185">
        <f t="shared" si="989"/>
        <v>1489602.0499999998</v>
      </c>
      <c r="BP104" s="185">
        <f t="shared" si="989"/>
        <v>1832664.1249999995</v>
      </c>
      <c r="BQ104" s="185">
        <f t="shared" si="989"/>
        <v>2210554.2124999994</v>
      </c>
      <c r="BR104" s="185">
        <f t="shared" si="989"/>
        <v>2592244.337499999</v>
      </c>
      <c r="BS104" s="185">
        <f t="shared" si="989"/>
        <v>2966304.0874999994</v>
      </c>
      <c r="BT104" s="185">
        <f t="shared" si="989"/>
        <v>3328210.3124999991</v>
      </c>
      <c r="BU104" s="185">
        <f t="shared" si="989"/>
        <v>3678042.9374999986</v>
      </c>
      <c r="BV104" s="185">
        <f t="shared" si="989"/>
        <v>3917173.8124999986</v>
      </c>
    </row>
    <row r="105" spans="2:74" ht="20.05" customHeight="1" x14ac:dyDescent="0.4">
      <c r="B105" s="34" t="s">
        <v>12</v>
      </c>
      <c r="C105" s="43">
        <f t="shared" ref="C105:L105" si="990">C17</f>
        <v>0.38282074613284806</v>
      </c>
      <c r="D105" s="43">
        <f t="shared" si="990"/>
        <v>0.36970967486749468</v>
      </c>
      <c r="E105" s="43">
        <f t="shared" si="990"/>
        <v>0.36195699981889212</v>
      </c>
      <c r="F105" s="43">
        <f t="shared" si="990"/>
        <v>0.2976820924624739</v>
      </c>
      <c r="G105" s="43">
        <f t="shared" si="990"/>
        <v>0.42459214823498959</v>
      </c>
      <c r="H105" s="43">
        <f t="shared" si="990"/>
        <v>0.40416397836120899</v>
      </c>
      <c r="I105" s="43">
        <f t="shared" si="990"/>
        <v>0.35080469197726566</v>
      </c>
      <c r="J105" s="43">
        <f t="shared" si="990"/>
        <v>0.26460188005154034</v>
      </c>
      <c r="K105" s="43">
        <f t="shared" si="990"/>
        <v>0.35879174487769366</v>
      </c>
      <c r="L105" s="225">
        <f t="shared" si="990"/>
        <v>1.1365364077948623</v>
      </c>
      <c r="M105" s="59">
        <v>0.35</v>
      </c>
      <c r="N105" s="45">
        <v>0.3</v>
      </c>
      <c r="O105" s="45">
        <v>0.35</v>
      </c>
      <c r="P105" s="45">
        <v>0.35</v>
      </c>
      <c r="Q105" s="45">
        <v>0.35</v>
      </c>
      <c r="R105" s="45">
        <v>0.3</v>
      </c>
      <c r="S105" s="46">
        <f>O105-1.5%</f>
        <v>0.33499999999999996</v>
      </c>
      <c r="T105" s="46">
        <f t="shared" ref="T105:Z105" si="991">P105-1.5%</f>
        <v>0.33499999999999996</v>
      </c>
      <c r="U105" s="46">
        <f t="shared" si="991"/>
        <v>0.33499999999999996</v>
      </c>
      <c r="V105" s="46">
        <f t="shared" si="991"/>
        <v>0.28499999999999998</v>
      </c>
      <c r="W105" s="46">
        <f t="shared" si="991"/>
        <v>0.31999999999999995</v>
      </c>
      <c r="X105" s="46">
        <f t="shared" si="991"/>
        <v>0.31999999999999995</v>
      </c>
      <c r="Y105" s="46">
        <f t="shared" si="991"/>
        <v>0.31999999999999995</v>
      </c>
      <c r="Z105" s="46">
        <f t="shared" si="991"/>
        <v>0.26999999999999996</v>
      </c>
      <c r="AA105" s="46">
        <f>W105-1%</f>
        <v>0.30999999999999994</v>
      </c>
      <c r="AB105" s="46">
        <f t="shared" ref="AB105:AD105" si="992">X105-1%</f>
        <v>0.30999999999999994</v>
      </c>
      <c r="AC105" s="46">
        <f t="shared" si="992"/>
        <v>0.30999999999999994</v>
      </c>
      <c r="AD105" s="46">
        <f t="shared" si="992"/>
        <v>0.25999999999999995</v>
      </c>
      <c r="AE105" s="46">
        <f t="shared" ref="AE105" si="993">AA105-1%</f>
        <v>0.29999999999999993</v>
      </c>
      <c r="AF105" s="46">
        <f t="shared" ref="AF105" si="994">AB105-1%</f>
        <v>0.29999999999999993</v>
      </c>
      <c r="AG105" s="46">
        <f t="shared" ref="AG105" si="995">AC105-1%</f>
        <v>0.29999999999999993</v>
      </c>
      <c r="AH105" s="46">
        <f t="shared" ref="AH105" si="996">AD105-1%</f>
        <v>0.24999999999999994</v>
      </c>
      <c r="AI105" s="46">
        <f>AE105-0.5%</f>
        <v>0.29499999999999993</v>
      </c>
      <c r="AJ105" s="46">
        <f t="shared" ref="AJ105:AP105" si="997">AF105-0.5%</f>
        <v>0.29499999999999993</v>
      </c>
      <c r="AK105" s="46">
        <f t="shared" si="997"/>
        <v>0.29499999999999993</v>
      </c>
      <c r="AL105" s="46">
        <f t="shared" si="997"/>
        <v>0.24499999999999994</v>
      </c>
      <c r="AM105" s="46">
        <f t="shared" si="997"/>
        <v>0.28999999999999992</v>
      </c>
      <c r="AN105" s="46">
        <f t="shared" si="997"/>
        <v>0.28999999999999992</v>
      </c>
      <c r="AO105" s="46">
        <f t="shared" si="997"/>
        <v>0.28999999999999992</v>
      </c>
      <c r="AP105" s="46">
        <f t="shared" si="997"/>
        <v>0.23999999999999994</v>
      </c>
      <c r="AQ105" s="46">
        <f t="shared" ref="AQ105" si="998">AM105-0.5%</f>
        <v>0.28499999999999992</v>
      </c>
      <c r="AR105" s="46">
        <f t="shared" ref="AR105" si="999">AN105-0.5%</f>
        <v>0.28499999999999992</v>
      </c>
      <c r="AS105" s="46">
        <f t="shared" ref="AS105" si="1000">AO105-0.5%</f>
        <v>0.28499999999999992</v>
      </c>
      <c r="AT105" s="46">
        <f t="shared" ref="AT105" si="1001">AP105-0.5%</f>
        <v>0.23499999999999993</v>
      </c>
      <c r="AU105" s="46">
        <f t="shared" ref="AU105" si="1002">AQ105-0.5%</f>
        <v>0.27999999999999992</v>
      </c>
      <c r="AV105" s="46">
        <f t="shared" ref="AV105" si="1003">AR105-0.5%</f>
        <v>0.27999999999999992</v>
      </c>
      <c r="AW105" s="46">
        <f t="shared" ref="AW105" si="1004">AS105-0.5%</f>
        <v>0.27999999999999992</v>
      </c>
      <c r="AX105" s="46">
        <f t="shared" ref="AX105" si="1005">AT105-0.5%</f>
        <v>0.22999999999999993</v>
      </c>
      <c r="AY105" s="46">
        <f t="shared" ref="AY105" si="1006">AU105-0.5%</f>
        <v>0.27499999999999991</v>
      </c>
      <c r="AZ105" s="46">
        <f t="shared" ref="AZ105" si="1007">AV105-0.5%</f>
        <v>0.27499999999999991</v>
      </c>
      <c r="BA105" s="46">
        <f t="shared" ref="BA105" si="1008">AW105-0.5%</f>
        <v>0.27499999999999991</v>
      </c>
      <c r="BB105" s="46">
        <f t="shared" ref="BB105" si="1009">AX105-0.5%</f>
        <v>0.22499999999999992</v>
      </c>
      <c r="BC105" s="46">
        <f t="shared" ref="BC105" si="1010">AY105-0.5%</f>
        <v>0.26999999999999991</v>
      </c>
      <c r="BD105" s="46">
        <f t="shared" ref="BD105" si="1011">AZ105-0.5%</f>
        <v>0.26999999999999991</v>
      </c>
      <c r="BE105" s="46">
        <f t="shared" ref="BE105" si="1012">BA105-0.5%</f>
        <v>0.26999999999999991</v>
      </c>
      <c r="BF105" s="46">
        <f t="shared" ref="BF105" si="1013">BB105-0.5%</f>
        <v>0.21999999999999992</v>
      </c>
      <c r="BG105" s="1" t="s">
        <v>7</v>
      </c>
      <c r="BH105" s="34" t="s">
        <v>12</v>
      </c>
      <c r="BI105" s="186">
        <f>BI104/BI$7</f>
        <v>0.34368893438115944</v>
      </c>
      <c r="BJ105" s="186">
        <f t="shared" ref="BJ105:BV105" si="1014">BJ104/BJ$7</f>
        <v>0.3438523570903203</v>
      </c>
      <c r="BK105" s="186">
        <f t="shared" si="1014"/>
        <v>0.50331513807234673</v>
      </c>
      <c r="BL105" s="186">
        <f t="shared" si="1014"/>
        <v>0.33334860388633336</v>
      </c>
      <c r="BM105" s="186">
        <f t="shared" si="1014"/>
        <v>0.31896663560485727</v>
      </c>
      <c r="BN105" s="186">
        <f t="shared" si="1014"/>
        <v>0.30443362646634847</v>
      </c>
      <c r="BO105" s="186">
        <f t="shared" si="1014"/>
        <v>0.29478507593238312</v>
      </c>
      <c r="BP105" s="186">
        <f t="shared" si="1014"/>
        <v>0.2850511082362282</v>
      </c>
      <c r="BQ105" s="186">
        <f t="shared" si="1014"/>
        <v>0.28023174964971881</v>
      </c>
      <c r="BR105" s="186">
        <f t="shared" si="1014"/>
        <v>0.27536282962813841</v>
      </c>
      <c r="BS105" s="186">
        <f t="shared" si="1014"/>
        <v>0.27045903458028664</v>
      </c>
      <c r="BT105" s="186">
        <f t="shared" si="1014"/>
        <v>0.26552477320028672</v>
      </c>
      <c r="BU105" s="186">
        <f t="shared" si="1014"/>
        <v>0.26057329973124699</v>
      </c>
      <c r="BV105" s="186">
        <f t="shared" si="1014"/>
        <v>0.25556612529002309</v>
      </c>
    </row>
    <row r="106" spans="2:74" ht="20.05" customHeight="1" x14ac:dyDescent="0.4">
      <c r="B106" s="30" t="s">
        <v>13</v>
      </c>
      <c r="C106" s="42">
        <f t="shared" ref="C106:L106" si="1015">C18</f>
        <v>14260</v>
      </c>
      <c r="D106" s="42">
        <f t="shared" si="1015"/>
        <v>14642</v>
      </c>
      <c r="E106" s="42">
        <f t="shared" si="1015"/>
        <v>15653</v>
      </c>
      <c r="F106" s="42">
        <f t="shared" si="1015"/>
        <v>17080</v>
      </c>
      <c r="G106" s="42">
        <f t="shared" si="1015"/>
        <v>18867</v>
      </c>
      <c r="H106" s="42">
        <f t="shared" si="1015"/>
        <v>17834</v>
      </c>
      <c r="I106" s="42">
        <f t="shared" si="1015"/>
        <v>18716</v>
      </c>
      <c r="J106" s="42">
        <f t="shared" si="1015"/>
        <v>22061</v>
      </c>
      <c r="K106" s="42">
        <f t="shared" si="1015"/>
        <v>24205</v>
      </c>
      <c r="L106" s="223">
        <f t="shared" si="1015"/>
        <v>224179</v>
      </c>
      <c r="M106" s="75">
        <f t="shared" ref="M106:BF106" si="1016">M7*M107</f>
        <v>32319</v>
      </c>
      <c r="N106" s="76">
        <f t="shared" si="1016"/>
        <v>38377.799999999996</v>
      </c>
      <c r="O106" s="76">
        <f t="shared" si="1016"/>
        <v>36621.199999999997</v>
      </c>
      <c r="P106" s="76">
        <f t="shared" si="1016"/>
        <v>41776.5</v>
      </c>
      <c r="Q106" s="76">
        <f t="shared" si="1016"/>
        <v>49047.000000000007</v>
      </c>
      <c r="R106" s="76">
        <f t="shared" si="1016"/>
        <v>55775.25</v>
      </c>
      <c r="S106" s="76">
        <f t="shared" si="1016"/>
        <v>55265.760000000002</v>
      </c>
      <c r="T106" s="76">
        <f t="shared" si="1016"/>
        <v>61586.14</v>
      </c>
      <c r="U106" s="76">
        <f t="shared" si="1016"/>
        <v>70802.55</v>
      </c>
      <c r="V106" s="76">
        <f t="shared" si="1016"/>
        <v>77371.360000000001</v>
      </c>
      <c r="W106" s="76">
        <f t="shared" si="1016"/>
        <v>78009.904999999999</v>
      </c>
      <c r="X106" s="76">
        <f t="shared" si="1016"/>
        <v>85093.2</v>
      </c>
      <c r="Y106" s="76">
        <f t="shared" si="1016"/>
        <v>96163.199999999997</v>
      </c>
      <c r="Z106" s="76">
        <f t="shared" si="1016"/>
        <v>102016.855</v>
      </c>
      <c r="AA106" s="76">
        <f t="shared" si="1016"/>
        <v>104264.15999999999</v>
      </c>
      <c r="AB106" s="76">
        <f t="shared" si="1016"/>
        <v>111679.52</v>
      </c>
      <c r="AC106" s="76">
        <f t="shared" si="1016"/>
        <v>124539.19</v>
      </c>
      <c r="AD106" s="76">
        <f t="shared" si="1016"/>
        <v>129164.69999999998</v>
      </c>
      <c r="AE106" s="76">
        <f t="shared" si="1016"/>
        <v>132829.755</v>
      </c>
      <c r="AF106" s="76">
        <f t="shared" si="1016"/>
        <v>140152.57</v>
      </c>
      <c r="AG106" s="76">
        <f t="shared" si="1016"/>
        <v>154688.34</v>
      </c>
      <c r="AH106" s="76">
        <f t="shared" si="1016"/>
        <v>157620.60499999998</v>
      </c>
      <c r="AI106" s="76">
        <f t="shared" si="1016"/>
        <v>162014.25</v>
      </c>
      <c r="AJ106" s="76">
        <f t="shared" si="1016"/>
        <v>169092.9</v>
      </c>
      <c r="AK106" s="76">
        <f t="shared" si="1016"/>
        <v>185348.24999999997</v>
      </c>
      <c r="AL106" s="76">
        <f t="shared" si="1016"/>
        <v>186394.39999999997</v>
      </c>
      <c r="AM106" s="76">
        <f t="shared" si="1016"/>
        <v>191380.28</v>
      </c>
      <c r="AN106" s="76">
        <f t="shared" si="1016"/>
        <v>198051.14999999994</v>
      </c>
      <c r="AO106" s="76">
        <f t="shared" si="1016"/>
        <v>216006.34</v>
      </c>
      <c r="AP106" s="76">
        <f t="shared" si="1016"/>
        <v>214957.37249999997</v>
      </c>
      <c r="AQ106" s="76">
        <f t="shared" si="1016"/>
        <v>219988.19999999998</v>
      </c>
      <c r="AR106" s="76">
        <f t="shared" si="1016"/>
        <v>226126.35749999998</v>
      </c>
      <c r="AS106" s="76">
        <f t="shared" si="1016"/>
        <v>245713.71749999997</v>
      </c>
      <c r="AT106" s="76">
        <f t="shared" si="1016"/>
        <v>242410.26499999996</v>
      </c>
      <c r="AU106" s="76">
        <f t="shared" si="1016"/>
        <v>247317.64249999996</v>
      </c>
      <c r="AV106" s="76">
        <f t="shared" si="1016"/>
        <v>252925.57499999998</v>
      </c>
      <c r="AW106" s="76">
        <f t="shared" si="1016"/>
        <v>274144.185</v>
      </c>
      <c r="AX106" s="76">
        <f t="shared" si="1016"/>
        <v>268529.99749999994</v>
      </c>
      <c r="AY106" s="76">
        <f t="shared" si="1016"/>
        <v>273457.92499999993</v>
      </c>
      <c r="AZ106" s="76">
        <f t="shared" si="1016"/>
        <v>278479.07250000001</v>
      </c>
      <c r="BA106" s="76">
        <f t="shared" si="1016"/>
        <v>301270.15249999997</v>
      </c>
      <c r="BB106" s="76">
        <f t="shared" si="1016"/>
        <v>293235.3899999999</v>
      </c>
      <c r="BC106" s="76">
        <f t="shared" si="1016"/>
        <v>289869.41249999992</v>
      </c>
      <c r="BD106" s="76">
        <f t="shared" si="1016"/>
        <v>295161.29999999993</v>
      </c>
      <c r="BE106" s="76">
        <f t="shared" si="1016"/>
        <v>319397.09999999998</v>
      </c>
      <c r="BF106" s="76">
        <f t="shared" si="1016"/>
        <v>309728.03749999992</v>
      </c>
      <c r="BG106" s="1" t="s">
        <v>7</v>
      </c>
      <c r="BH106" s="30" t="s">
        <v>13</v>
      </c>
      <c r="BI106" s="185">
        <f t="shared" ref="BI106:BV106" si="1017">SUMIF($C$4:$BF$4,BI$5,$C106:$BF106)</f>
        <v>61635</v>
      </c>
      <c r="BJ106" s="185">
        <f t="shared" si="1017"/>
        <v>77478</v>
      </c>
      <c r="BK106" s="185">
        <f t="shared" si="1017"/>
        <v>319080.8</v>
      </c>
      <c r="BL106" s="185">
        <f t="shared" si="1017"/>
        <v>183219.95</v>
      </c>
      <c r="BM106" s="185">
        <f t="shared" si="1017"/>
        <v>265025.81</v>
      </c>
      <c r="BN106" s="185">
        <f t="shared" si="1017"/>
        <v>361283.16</v>
      </c>
      <c r="BO106" s="185">
        <f t="shared" si="1017"/>
        <v>469647.56999999995</v>
      </c>
      <c r="BP106" s="185">
        <f t="shared" si="1017"/>
        <v>585291.27</v>
      </c>
      <c r="BQ106" s="185">
        <f t="shared" si="1017"/>
        <v>702849.8</v>
      </c>
      <c r="BR106" s="185">
        <f t="shared" si="1017"/>
        <v>820395.14249999984</v>
      </c>
      <c r="BS106" s="185">
        <f t="shared" si="1017"/>
        <v>934238.5399999998</v>
      </c>
      <c r="BT106" s="185">
        <f t="shared" si="1017"/>
        <v>1042917.3999999998</v>
      </c>
      <c r="BU106" s="185">
        <f t="shared" si="1017"/>
        <v>1146442.5399999998</v>
      </c>
      <c r="BV106" s="185">
        <f t="shared" si="1017"/>
        <v>1214155.8499999999</v>
      </c>
    </row>
    <row r="107" spans="2:74" ht="20.05" customHeight="1" x14ac:dyDescent="0.4">
      <c r="B107" s="44" t="s">
        <v>14</v>
      </c>
      <c r="C107" s="36">
        <f t="shared" ref="C107:L107" si="1018">C19</f>
        <v>0.17300576281468003</v>
      </c>
      <c r="D107" s="36">
        <f t="shared" si="1018"/>
        <v>0.14478680484138914</v>
      </c>
      <c r="E107" s="36">
        <f t="shared" si="1018"/>
        <v>0.13499435115952152</v>
      </c>
      <c r="F107" s="36">
        <f t="shared" si="1018"/>
        <v>9.8531261177067828E-2</v>
      </c>
      <c r="G107" s="36">
        <f t="shared" si="1018"/>
        <v>0.14362929072237152</v>
      </c>
      <c r="H107" s="36">
        <f t="shared" si="1018"/>
        <v>0.11063824507419723</v>
      </c>
      <c r="I107" s="36">
        <f t="shared" si="1018"/>
        <v>9.8403234541028506E-2</v>
      </c>
      <c r="J107" s="36">
        <f t="shared" si="1018"/>
        <v>8.0755095466791618E-2</v>
      </c>
      <c r="K107" s="36">
        <f t="shared" si="1018"/>
        <v>0.11987955089123425</v>
      </c>
      <c r="L107" s="226">
        <f t="shared" si="1018"/>
        <v>0.85810472001806704</v>
      </c>
      <c r="M107" s="58">
        <v>0.1</v>
      </c>
      <c r="N107" s="46">
        <v>0.09</v>
      </c>
      <c r="O107" s="46">
        <v>0.11</v>
      </c>
      <c r="P107" s="46">
        <v>0.1</v>
      </c>
      <c r="Q107" s="46">
        <v>0.1</v>
      </c>
      <c r="R107" s="46">
        <v>0.09</v>
      </c>
      <c r="S107" s="46">
        <f>O107-0.2%</f>
        <v>0.108</v>
      </c>
      <c r="T107" s="46">
        <f t="shared" ref="T107:BF107" si="1019">P107-0.2%</f>
        <v>9.8000000000000004E-2</v>
      </c>
      <c r="U107" s="46">
        <f t="shared" si="1019"/>
        <v>9.8000000000000004E-2</v>
      </c>
      <c r="V107" s="46">
        <f t="shared" si="1019"/>
        <v>8.7999999999999995E-2</v>
      </c>
      <c r="W107" s="46">
        <f t="shared" si="1019"/>
        <v>0.106</v>
      </c>
      <c r="X107" s="46">
        <f t="shared" si="1019"/>
        <v>9.6000000000000002E-2</v>
      </c>
      <c r="Y107" s="46">
        <f t="shared" si="1019"/>
        <v>9.6000000000000002E-2</v>
      </c>
      <c r="Z107" s="46">
        <f t="shared" si="1019"/>
        <v>8.5999999999999993E-2</v>
      </c>
      <c r="AA107" s="46">
        <f t="shared" si="1019"/>
        <v>0.104</v>
      </c>
      <c r="AB107" s="46">
        <f t="shared" si="1019"/>
        <v>9.4E-2</v>
      </c>
      <c r="AC107" s="46">
        <f t="shared" si="1019"/>
        <v>9.4E-2</v>
      </c>
      <c r="AD107" s="46">
        <f t="shared" si="1019"/>
        <v>8.3999999999999991E-2</v>
      </c>
      <c r="AE107" s="46">
        <f t="shared" si="1019"/>
        <v>0.10199999999999999</v>
      </c>
      <c r="AF107" s="46">
        <f t="shared" si="1019"/>
        <v>9.1999999999999998E-2</v>
      </c>
      <c r="AG107" s="46">
        <f t="shared" si="1019"/>
        <v>9.1999999999999998E-2</v>
      </c>
      <c r="AH107" s="46">
        <f t="shared" si="1019"/>
        <v>8.199999999999999E-2</v>
      </c>
      <c r="AI107" s="46">
        <f t="shared" si="1019"/>
        <v>9.9999999999999992E-2</v>
      </c>
      <c r="AJ107" s="46">
        <f t="shared" si="1019"/>
        <v>0.09</v>
      </c>
      <c r="AK107" s="46">
        <f t="shared" si="1019"/>
        <v>0.09</v>
      </c>
      <c r="AL107" s="46">
        <f t="shared" si="1019"/>
        <v>7.9999999999999988E-2</v>
      </c>
      <c r="AM107" s="46">
        <f t="shared" si="1019"/>
        <v>9.799999999999999E-2</v>
      </c>
      <c r="AN107" s="46">
        <f t="shared" si="1019"/>
        <v>8.7999999999999995E-2</v>
      </c>
      <c r="AO107" s="46">
        <f t="shared" si="1019"/>
        <v>8.7999999999999995E-2</v>
      </c>
      <c r="AP107" s="46">
        <f t="shared" si="1019"/>
        <v>7.7999999999999986E-2</v>
      </c>
      <c r="AQ107" s="46">
        <f t="shared" si="1019"/>
        <v>9.5999999999999988E-2</v>
      </c>
      <c r="AR107" s="46">
        <f t="shared" si="1019"/>
        <v>8.5999999999999993E-2</v>
      </c>
      <c r="AS107" s="46">
        <f t="shared" si="1019"/>
        <v>8.5999999999999993E-2</v>
      </c>
      <c r="AT107" s="46">
        <f t="shared" si="1019"/>
        <v>7.5999999999999984E-2</v>
      </c>
      <c r="AU107" s="46">
        <f t="shared" si="1019"/>
        <v>9.3999999999999986E-2</v>
      </c>
      <c r="AV107" s="46">
        <f t="shared" si="1019"/>
        <v>8.3999999999999991E-2</v>
      </c>
      <c r="AW107" s="46">
        <f t="shared" si="1019"/>
        <v>8.3999999999999991E-2</v>
      </c>
      <c r="AX107" s="46">
        <f t="shared" si="1019"/>
        <v>7.3999999999999982E-2</v>
      </c>
      <c r="AY107" s="46">
        <f t="shared" si="1019"/>
        <v>9.1999999999999985E-2</v>
      </c>
      <c r="AZ107" s="46">
        <f t="shared" si="1019"/>
        <v>8.199999999999999E-2</v>
      </c>
      <c r="BA107" s="46">
        <f t="shared" si="1019"/>
        <v>8.199999999999999E-2</v>
      </c>
      <c r="BB107" s="46">
        <f t="shared" si="1019"/>
        <v>7.1999999999999981E-2</v>
      </c>
      <c r="BC107" s="46">
        <f t="shared" si="1019"/>
        <v>8.9999999999999983E-2</v>
      </c>
      <c r="BD107" s="46">
        <f t="shared" si="1019"/>
        <v>7.9999999999999988E-2</v>
      </c>
      <c r="BE107" s="46">
        <f t="shared" si="1019"/>
        <v>7.9999999999999988E-2</v>
      </c>
      <c r="BF107" s="46">
        <f t="shared" si="1019"/>
        <v>6.9999999999999979E-2</v>
      </c>
      <c r="BG107" s="1" t="s">
        <v>7</v>
      </c>
      <c r="BH107" s="44" t="s">
        <v>14</v>
      </c>
      <c r="BI107" s="186">
        <f>BI106/BI$7</f>
        <v>0.13034733912513852</v>
      </c>
      <c r="BJ107" s="186">
        <f t="shared" ref="BJ107:BV107" si="1020">BJ106/BJ$7</f>
        <v>0.10249334596233524</v>
      </c>
      <c r="BK107" s="186">
        <f t="shared" si="1020"/>
        <v>0.2631008352779175</v>
      </c>
      <c r="BL107" s="186">
        <f t="shared" si="1020"/>
        <v>9.8458766819999141E-2</v>
      </c>
      <c r="BM107" s="186">
        <f t="shared" si="1020"/>
        <v>9.6659661651187431E-2</v>
      </c>
      <c r="BN107" s="186">
        <f t="shared" si="1020"/>
        <v>9.4818194761660743E-2</v>
      </c>
      <c r="BO107" s="186">
        <f t="shared" si="1020"/>
        <v>9.2940993592153839E-2</v>
      </c>
      <c r="BP107" s="186">
        <f t="shared" si="1020"/>
        <v>9.1035734741896315E-2</v>
      </c>
      <c r="BQ107" s="186">
        <f t="shared" si="1020"/>
        <v>8.9100203053696883E-2</v>
      </c>
      <c r="BR107" s="186">
        <f t="shared" si="1020"/>
        <v>8.71470040782681E-2</v>
      </c>
      <c r="BS107" s="186">
        <f t="shared" si="1020"/>
        <v>8.518117028556213E-2</v>
      </c>
      <c r="BT107" s="186">
        <f t="shared" si="1020"/>
        <v>8.3203998575926155E-2</v>
      </c>
      <c r="BU107" s="186">
        <f t="shared" si="1020"/>
        <v>8.1220453560861175E-2</v>
      </c>
      <c r="BV107" s="186">
        <f t="shared" si="1020"/>
        <v>7.921453602404184E-2</v>
      </c>
    </row>
    <row r="108" spans="2:74" ht="20.05" customHeight="1" x14ac:dyDescent="0.4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53"/>
      <c r="BG108" s="1" t="s">
        <v>7</v>
      </c>
    </row>
    <row r="109" spans="2:74" ht="20.05" customHeight="1" x14ac:dyDescent="0.4">
      <c r="B109" s="87" t="s">
        <v>38</v>
      </c>
      <c r="C109" s="30"/>
      <c r="D109" s="30"/>
      <c r="E109" s="30"/>
      <c r="F109" s="30"/>
      <c r="G109" s="30"/>
      <c r="H109" s="30"/>
      <c r="I109" s="30"/>
      <c r="J109" s="30"/>
      <c r="K109" s="30"/>
      <c r="L109" s="222" t="s">
        <v>167</v>
      </c>
      <c r="M109" s="57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1" t="s">
        <v>7</v>
      </c>
      <c r="BH109" s="87" t="s">
        <v>38</v>
      </c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</row>
    <row r="110" spans="2:74" ht="20.05" customHeight="1" x14ac:dyDescent="0.4">
      <c r="B110" s="33" t="s">
        <v>25</v>
      </c>
      <c r="C110" s="42">
        <v>125</v>
      </c>
      <c r="D110" s="42">
        <v>113</v>
      </c>
      <c r="E110" s="42">
        <v>95</v>
      </c>
      <c r="F110" s="42">
        <v>39</v>
      </c>
      <c r="G110" s="42">
        <v>32</v>
      </c>
      <c r="H110" s="42">
        <v>20</v>
      </c>
      <c r="I110" s="42">
        <v>16</v>
      </c>
      <c r="J110" s="42">
        <v>15</v>
      </c>
      <c r="K110" s="42">
        <v>15</v>
      </c>
      <c r="L110" s="223">
        <v>28157</v>
      </c>
      <c r="M110" s="75">
        <f t="shared" ref="M110:BF110" si="1021">M86*(1-M90)*M111</f>
        <v>22.6233</v>
      </c>
      <c r="N110" s="42">
        <f t="shared" si="1021"/>
        <v>21.321000000000002</v>
      </c>
      <c r="O110" s="42">
        <f t="shared" si="1021"/>
        <v>23.304399999999998</v>
      </c>
      <c r="P110" s="42">
        <f t="shared" si="1021"/>
        <v>29.243550000000003</v>
      </c>
      <c r="Q110" s="42">
        <f t="shared" si="1021"/>
        <v>34.332900000000002</v>
      </c>
      <c r="R110" s="42">
        <f t="shared" si="1021"/>
        <v>30.986250000000002</v>
      </c>
      <c r="S110" s="42">
        <f t="shared" si="1021"/>
        <v>34.796959999999999</v>
      </c>
      <c r="T110" s="42">
        <f t="shared" si="1021"/>
        <v>42.733239999999995</v>
      </c>
      <c r="U110" s="42">
        <f t="shared" si="1021"/>
        <v>49.128299999999996</v>
      </c>
      <c r="V110" s="42">
        <f t="shared" si="1021"/>
        <v>42.202559999999998</v>
      </c>
      <c r="W110" s="42">
        <f t="shared" si="1021"/>
        <v>48.572204999999997</v>
      </c>
      <c r="X110" s="42">
        <f t="shared" si="1021"/>
        <v>58.501574999999988</v>
      </c>
      <c r="Y110" s="42">
        <f t="shared" si="1021"/>
        <v>66.112199999999987</v>
      </c>
      <c r="Z110" s="42">
        <f t="shared" si="1021"/>
        <v>54.567154999999993</v>
      </c>
      <c r="AA110" s="42">
        <f t="shared" si="1021"/>
        <v>64.162559999999985</v>
      </c>
      <c r="AB110" s="42">
        <f t="shared" si="1021"/>
        <v>76.037119999999987</v>
      </c>
      <c r="AC110" s="42">
        <f t="shared" si="1021"/>
        <v>84.792639999999992</v>
      </c>
      <c r="AD110" s="42">
        <f t="shared" si="1021"/>
        <v>67.657699999999991</v>
      </c>
      <c r="AE110" s="42">
        <f t="shared" si="1021"/>
        <v>80.739654999999985</v>
      </c>
      <c r="AF110" s="42">
        <f t="shared" si="1021"/>
        <v>94.450644999999994</v>
      </c>
      <c r="AG110" s="42">
        <f t="shared" si="1021"/>
        <v>104.24648999999998</v>
      </c>
      <c r="AH110" s="42">
        <f t="shared" si="1021"/>
        <v>80.732504999999989</v>
      </c>
      <c r="AI110" s="42">
        <f t="shared" si="1021"/>
        <v>97.208549999999988</v>
      </c>
      <c r="AJ110" s="42">
        <f t="shared" si="1021"/>
        <v>112.72859999999999</v>
      </c>
      <c r="AK110" s="42">
        <f t="shared" si="1021"/>
        <v>123.56549999999996</v>
      </c>
      <c r="AL110" s="42">
        <f t="shared" si="1021"/>
        <v>93.197199999999981</v>
      </c>
      <c r="AM110" s="42">
        <f t="shared" si="1021"/>
        <v>117.17160000000003</v>
      </c>
      <c r="AN110" s="42">
        <f t="shared" si="1021"/>
        <v>135.034875</v>
      </c>
      <c r="AO110" s="42">
        <f t="shared" si="1021"/>
        <v>147.27705000000003</v>
      </c>
      <c r="AP110" s="42">
        <f t="shared" si="1021"/>
        <v>110.23454999999998</v>
      </c>
      <c r="AQ110" s="42">
        <f t="shared" si="1021"/>
        <v>137.49262500000003</v>
      </c>
      <c r="AR110" s="42">
        <f t="shared" si="1021"/>
        <v>157.76257500000003</v>
      </c>
      <c r="AS110" s="42">
        <f t="shared" si="1021"/>
        <v>171.42817500000004</v>
      </c>
      <c r="AT110" s="42">
        <f t="shared" si="1021"/>
        <v>127.58434999999999</v>
      </c>
      <c r="AU110" s="42">
        <f t="shared" si="1021"/>
        <v>157.86232500000003</v>
      </c>
      <c r="AV110" s="42">
        <f t="shared" si="1021"/>
        <v>180.66112500000003</v>
      </c>
      <c r="AW110" s="42">
        <f t="shared" si="1021"/>
        <v>195.81727500000005</v>
      </c>
      <c r="AX110" s="42">
        <f t="shared" si="1021"/>
        <v>145.15134999999998</v>
      </c>
      <c r="AY110" s="42">
        <f t="shared" si="1021"/>
        <v>178.34212500000004</v>
      </c>
      <c r="AZ110" s="42">
        <f t="shared" si="1021"/>
        <v>203.76517500000006</v>
      </c>
      <c r="BA110" s="42">
        <f t="shared" si="1021"/>
        <v>220.44157500000006</v>
      </c>
      <c r="BB110" s="42">
        <f t="shared" si="1021"/>
        <v>162.90854999999996</v>
      </c>
      <c r="BC110" s="42">
        <f t="shared" si="1021"/>
        <v>193.24627500000003</v>
      </c>
      <c r="BD110" s="42">
        <f t="shared" si="1021"/>
        <v>221.37097500000004</v>
      </c>
      <c r="BE110" s="42">
        <f t="shared" si="1021"/>
        <v>239.54782500000005</v>
      </c>
      <c r="BF110" s="42">
        <f t="shared" si="1021"/>
        <v>176.98744999999997</v>
      </c>
      <c r="BG110" s="1" t="s">
        <v>7</v>
      </c>
      <c r="BH110" s="33" t="s">
        <v>25</v>
      </c>
      <c r="BI110" s="185">
        <f t="shared" ref="BI110:BV110" si="1022">SUMIF($C$4:$BF$4,BI$5,$C110:$BF110)</f>
        <v>372</v>
      </c>
      <c r="BJ110" s="185">
        <f t="shared" si="1022"/>
        <v>83</v>
      </c>
      <c r="BK110" s="185">
        <f t="shared" si="1022"/>
        <v>28215.944299999999</v>
      </c>
      <c r="BL110" s="185">
        <f t="shared" si="1022"/>
        <v>117.86710000000001</v>
      </c>
      <c r="BM110" s="185">
        <f t="shared" si="1022"/>
        <v>168.86105999999998</v>
      </c>
      <c r="BN110" s="185">
        <f t="shared" si="1022"/>
        <v>227.75313499999996</v>
      </c>
      <c r="BO110" s="185">
        <f t="shared" si="1022"/>
        <v>292.65001999999993</v>
      </c>
      <c r="BP110" s="185">
        <f t="shared" si="1022"/>
        <v>360.16929499999998</v>
      </c>
      <c r="BQ110" s="185">
        <f t="shared" si="1022"/>
        <v>426.69984999999986</v>
      </c>
      <c r="BR110" s="185">
        <f t="shared" si="1022"/>
        <v>509.718075</v>
      </c>
      <c r="BS110" s="185">
        <f t="shared" si="1022"/>
        <v>594.26772500000004</v>
      </c>
      <c r="BT110" s="185">
        <f t="shared" si="1022"/>
        <v>679.492075</v>
      </c>
      <c r="BU110" s="185">
        <f t="shared" si="1022"/>
        <v>765.45742500000017</v>
      </c>
      <c r="BV110" s="185">
        <f t="shared" si="1022"/>
        <v>831.15252500000008</v>
      </c>
    </row>
    <row r="111" spans="2:74" ht="20.05" customHeight="1" x14ac:dyDescent="0.4">
      <c r="B111" s="34" t="s">
        <v>24</v>
      </c>
      <c r="C111" s="31">
        <f t="shared" ref="C111:L111" si="1023">C110/C10</f>
        <v>2.4252066276046719E-3</v>
      </c>
      <c r="D111" s="31">
        <f t="shared" si="1023"/>
        <v>3.1396738073407242E-3</v>
      </c>
      <c r="E111" s="31">
        <f t="shared" si="1023"/>
        <v>2.2375579998586805E-3</v>
      </c>
      <c r="F111" s="31">
        <f t="shared" si="1023"/>
        <v>8.0124912684390026E-4</v>
      </c>
      <c r="G111" s="31">
        <f t="shared" si="1023"/>
        <v>6.195187114010803E-4</v>
      </c>
      <c r="H111" s="31">
        <f t="shared" si="1023"/>
        <v>3.449822334149791E-4</v>
      </c>
      <c r="I111" s="31">
        <f t="shared" si="1023"/>
        <v>2.5137865480997346E-4</v>
      </c>
      <c r="J111" s="31">
        <f t="shared" si="1023"/>
        <v>2.1959360543420976E-4</v>
      </c>
      <c r="K111" s="31">
        <f t="shared" si="1023"/>
        <v>2.0354438624582734E-4</v>
      </c>
      <c r="L111" s="227">
        <f t="shared" si="1023"/>
        <v>0.26710619930749896</v>
      </c>
      <c r="M111" s="60">
        <v>2.0000000000000001E-4</v>
      </c>
      <c r="N111" s="38">
        <v>2.0000000000000001E-4</v>
      </c>
      <c r="O111" s="38">
        <v>2.0000000000000001E-4</v>
      </c>
      <c r="P111" s="38">
        <v>2.0000000000000001E-4</v>
      </c>
      <c r="Q111" s="38">
        <v>2.0000000000000001E-4</v>
      </c>
      <c r="R111" s="38">
        <v>2.0000000000000001E-4</v>
      </c>
      <c r="S111" s="38">
        <v>2.0000000000000001E-4</v>
      </c>
      <c r="T111" s="38">
        <v>2.0000000000000001E-4</v>
      </c>
      <c r="U111" s="38">
        <v>2.0000000000000001E-4</v>
      </c>
      <c r="V111" s="38">
        <v>2.0000000000000001E-4</v>
      </c>
      <c r="W111" s="38">
        <v>2.0000000000000001E-4</v>
      </c>
      <c r="X111" s="38">
        <v>2.0000000000000001E-4</v>
      </c>
      <c r="Y111" s="38">
        <v>2.0000000000000001E-4</v>
      </c>
      <c r="Z111" s="38">
        <v>2.0000000000000001E-4</v>
      </c>
      <c r="AA111" s="38">
        <v>2.0000000000000001E-4</v>
      </c>
      <c r="AB111" s="38">
        <v>2.0000000000000001E-4</v>
      </c>
      <c r="AC111" s="38">
        <v>2.0000000000000001E-4</v>
      </c>
      <c r="AD111" s="38">
        <v>2.0000000000000001E-4</v>
      </c>
      <c r="AE111" s="38">
        <v>2.0000000000000001E-4</v>
      </c>
      <c r="AF111" s="38">
        <v>2.0000000000000001E-4</v>
      </c>
      <c r="AG111" s="38">
        <v>2.0000000000000001E-4</v>
      </c>
      <c r="AH111" s="38">
        <v>2.0000000000000001E-4</v>
      </c>
      <c r="AI111" s="38">
        <v>2.0000000000000001E-4</v>
      </c>
      <c r="AJ111" s="38">
        <v>2.0000000000000001E-4</v>
      </c>
      <c r="AK111" s="38">
        <v>2.0000000000000001E-4</v>
      </c>
      <c r="AL111" s="38">
        <v>2.0000000000000001E-4</v>
      </c>
      <c r="AM111" s="38">
        <v>2.0000000000000001E-4</v>
      </c>
      <c r="AN111" s="38">
        <v>2.0000000000000001E-4</v>
      </c>
      <c r="AO111" s="38">
        <v>2.0000000000000001E-4</v>
      </c>
      <c r="AP111" s="38">
        <v>2.0000000000000001E-4</v>
      </c>
      <c r="AQ111" s="38">
        <v>2.0000000000000001E-4</v>
      </c>
      <c r="AR111" s="38">
        <v>2.0000000000000001E-4</v>
      </c>
      <c r="AS111" s="38">
        <v>2.0000000000000001E-4</v>
      </c>
      <c r="AT111" s="38">
        <v>2.0000000000000001E-4</v>
      </c>
      <c r="AU111" s="38">
        <v>2.0000000000000001E-4</v>
      </c>
      <c r="AV111" s="38">
        <v>2.0000000000000001E-4</v>
      </c>
      <c r="AW111" s="38">
        <v>2.0000000000000001E-4</v>
      </c>
      <c r="AX111" s="38">
        <v>2.0000000000000001E-4</v>
      </c>
      <c r="AY111" s="38">
        <v>2.0000000000000001E-4</v>
      </c>
      <c r="AZ111" s="38">
        <v>2.0000000000000001E-4</v>
      </c>
      <c r="BA111" s="38">
        <v>2.0000000000000001E-4</v>
      </c>
      <c r="BB111" s="38">
        <v>2.0000000000000001E-4</v>
      </c>
      <c r="BC111" s="38">
        <v>2.0000000000000001E-4</v>
      </c>
      <c r="BD111" s="38">
        <v>2.0000000000000001E-4</v>
      </c>
      <c r="BE111" s="38">
        <v>2.0000000000000001E-4</v>
      </c>
      <c r="BF111" s="38">
        <v>2.0000000000000001E-4</v>
      </c>
      <c r="BG111" s="1" t="s">
        <v>7</v>
      </c>
      <c r="BH111" s="34" t="s">
        <v>24</v>
      </c>
      <c r="BI111" s="31">
        <f>BI110/BI10</f>
        <v>2.0821206286660995E-3</v>
      </c>
      <c r="BJ111" s="31">
        <f t="shared" ref="BJ111:BV111" si="1024">BJ110/BJ10</f>
        <v>3.4356579905954037E-4</v>
      </c>
      <c r="BK111" s="31">
        <f t="shared" si="1024"/>
        <v>7.0270542161429153E-2</v>
      </c>
      <c r="BL111" s="31">
        <f t="shared" si="1024"/>
        <v>1.981823750067227E-4</v>
      </c>
      <c r="BM111" s="31">
        <f t="shared" si="1024"/>
        <v>1.987277837644923E-4</v>
      </c>
      <c r="BN111" s="31">
        <f t="shared" si="1024"/>
        <v>1.9905519754363104E-4</v>
      </c>
      <c r="BO111" s="31">
        <f t="shared" si="1024"/>
        <v>1.9999999999999998E-4</v>
      </c>
      <c r="BP111" s="31">
        <f t="shared" si="1024"/>
        <v>2.0000000000000004E-4</v>
      </c>
      <c r="BQ111" s="31">
        <f t="shared" si="1024"/>
        <v>1.9999999999999998E-4</v>
      </c>
      <c r="BR111" s="31">
        <f t="shared" si="1024"/>
        <v>2.0000000000000001E-4</v>
      </c>
      <c r="BS111" s="31">
        <f t="shared" si="1024"/>
        <v>1.9999999999999998E-4</v>
      </c>
      <c r="BT111" s="31">
        <f t="shared" si="1024"/>
        <v>1.9999999999999996E-4</v>
      </c>
      <c r="BU111" s="31">
        <f t="shared" si="1024"/>
        <v>2.0000000000000001E-4</v>
      </c>
      <c r="BV111" s="31">
        <f t="shared" si="1024"/>
        <v>2.0000000000000001E-4</v>
      </c>
    </row>
    <row r="112" spans="2:74" ht="20.05" customHeight="1" x14ac:dyDescent="0.4">
      <c r="B112" s="33" t="s">
        <v>26</v>
      </c>
      <c r="C112" s="42">
        <v>5161</v>
      </c>
      <c r="D112" s="42">
        <v>5053</v>
      </c>
      <c r="E112" s="42">
        <v>4888</v>
      </c>
      <c r="F112" s="42">
        <v>4709</v>
      </c>
      <c r="G112" s="42">
        <v>4054</v>
      </c>
      <c r="H112" s="42">
        <v>3608</v>
      </c>
      <c r="I112" s="42">
        <v>3380</v>
      </c>
      <c r="J112" s="42">
        <v>2113</v>
      </c>
      <c r="K112" s="42">
        <v>626</v>
      </c>
      <c r="L112" s="223">
        <v>709996</v>
      </c>
      <c r="M112" s="75">
        <f t="shared" ref="M112:BF112" si="1025">M102*M113</f>
        <v>927.5553000000001</v>
      </c>
      <c r="N112" s="76">
        <f t="shared" si="1025"/>
        <v>874.16100000000006</v>
      </c>
      <c r="O112" s="76">
        <f t="shared" si="1025"/>
        <v>900.88152000000014</v>
      </c>
      <c r="P112" s="76">
        <f t="shared" si="1025"/>
        <v>1130.4720900000002</v>
      </c>
      <c r="Q112" s="76">
        <f t="shared" si="1025"/>
        <v>1327.2118200000004</v>
      </c>
      <c r="R112" s="76">
        <f t="shared" si="1025"/>
        <v>1219.6188000000002</v>
      </c>
      <c r="S112" s="76">
        <f t="shared" si="1025"/>
        <v>1300.7922400000002</v>
      </c>
      <c r="T112" s="76">
        <f t="shared" si="1025"/>
        <v>1597.4690600000001</v>
      </c>
      <c r="U112" s="76">
        <f t="shared" si="1025"/>
        <v>1836.5314500000002</v>
      </c>
      <c r="V112" s="76">
        <f t="shared" si="1025"/>
        <v>1658.2089200000003</v>
      </c>
      <c r="W112" s="76">
        <f t="shared" si="1025"/>
        <v>1810.4185500000001</v>
      </c>
      <c r="X112" s="76">
        <f t="shared" si="1025"/>
        <v>2180.51325</v>
      </c>
      <c r="Y112" s="76">
        <f t="shared" si="1025"/>
        <v>2464.1820000000002</v>
      </c>
      <c r="Z112" s="76">
        <f t="shared" si="1025"/>
        <v>2139.9814700000002</v>
      </c>
      <c r="AA112" s="76">
        <f t="shared" si="1025"/>
        <v>2384.0401200000001</v>
      </c>
      <c r="AB112" s="76">
        <f t="shared" si="1025"/>
        <v>2825.2542399999998</v>
      </c>
      <c r="AC112" s="76">
        <f t="shared" si="1025"/>
        <v>3150.5765299999998</v>
      </c>
      <c r="AD112" s="76">
        <f t="shared" si="1025"/>
        <v>2647.87635</v>
      </c>
      <c r="AE112" s="76">
        <f t="shared" si="1025"/>
        <v>2989.97174</v>
      </c>
      <c r="AF112" s="76">
        <f t="shared" si="1025"/>
        <v>3497.7206599999995</v>
      </c>
      <c r="AG112" s="76">
        <f t="shared" si="1025"/>
        <v>3860.4829199999999</v>
      </c>
      <c r="AH112" s="76">
        <f t="shared" si="1025"/>
        <v>3152.4121</v>
      </c>
      <c r="AI112" s="76">
        <f t="shared" si="1025"/>
        <v>3586.9954949999997</v>
      </c>
      <c r="AJ112" s="76">
        <f t="shared" si="1025"/>
        <v>4159.68534</v>
      </c>
      <c r="AK112" s="76">
        <f t="shared" si="1025"/>
        <v>4559.5669499999995</v>
      </c>
      <c r="AL112" s="76">
        <f t="shared" si="1025"/>
        <v>3725.55807</v>
      </c>
      <c r="AM112" s="76">
        <f t="shared" si="1025"/>
        <v>4243.5647799999997</v>
      </c>
      <c r="AN112" s="76">
        <f t="shared" si="1025"/>
        <v>4890.513056249999</v>
      </c>
      <c r="AO112" s="76">
        <f t="shared" si="1025"/>
        <v>5333.8838274999998</v>
      </c>
      <c r="AP112" s="76">
        <f t="shared" si="1025"/>
        <v>4293.6357225000002</v>
      </c>
      <c r="AQ112" s="76">
        <f t="shared" si="1025"/>
        <v>4885.5712749999993</v>
      </c>
      <c r="AR112" s="76">
        <f t="shared" si="1025"/>
        <v>5605.8301649999994</v>
      </c>
      <c r="AS112" s="76">
        <f t="shared" si="1025"/>
        <v>6091.4144849999993</v>
      </c>
      <c r="AT112" s="76">
        <f t="shared" si="1025"/>
        <v>4838.6364737499998</v>
      </c>
      <c r="AU112" s="76">
        <f t="shared" si="1025"/>
        <v>5501.5020262499993</v>
      </c>
      <c r="AV112" s="76">
        <f t="shared" si="1025"/>
        <v>6296.0402062499998</v>
      </c>
      <c r="AW112" s="76">
        <f t="shared" si="1025"/>
        <v>6824.2320337500005</v>
      </c>
      <c r="AX112" s="76">
        <f t="shared" si="1025"/>
        <v>5356.0848149999993</v>
      </c>
      <c r="AY112" s="76">
        <f t="shared" si="1025"/>
        <v>6093.3559374999995</v>
      </c>
      <c r="AZ112" s="76">
        <f t="shared" si="1025"/>
        <v>6961.9768125000001</v>
      </c>
      <c r="BA112" s="76">
        <f t="shared" si="1025"/>
        <v>7531.7538124999983</v>
      </c>
      <c r="BB112" s="76">
        <f t="shared" si="1025"/>
        <v>5844.3442312499992</v>
      </c>
      <c r="BC112" s="76">
        <f t="shared" si="1025"/>
        <v>6470.5294412499989</v>
      </c>
      <c r="BD112" s="76">
        <f t="shared" si="1025"/>
        <v>7412.238146249998</v>
      </c>
      <c r="BE112" s="76">
        <f t="shared" si="1025"/>
        <v>8020.8596737499993</v>
      </c>
      <c r="BF112" s="76">
        <f t="shared" si="1025"/>
        <v>6168.0126324999992</v>
      </c>
      <c r="BG112" s="1" t="s">
        <v>7</v>
      </c>
      <c r="BH112" s="33" t="s">
        <v>26</v>
      </c>
      <c r="BI112" s="185">
        <f t="shared" ref="BI112:BV112" si="1026">SUMIF($C$4:$BF$4,BI$5,$C112:$BF112)</f>
        <v>19811</v>
      </c>
      <c r="BJ112" s="185">
        <f t="shared" si="1026"/>
        <v>13155</v>
      </c>
      <c r="BK112" s="185">
        <f t="shared" si="1026"/>
        <v>712423.71629999997</v>
      </c>
      <c r="BL112" s="185">
        <f t="shared" si="1026"/>
        <v>4578.1842300000008</v>
      </c>
      <c r="BM112" s="185">
        <f t="shared" si="1026"/>
        <v>6393.0016700000006</v>
      </c>
      <c r="BN112" s="185">
        <f t="shared" si="1026"/>
        <v>8595.0952700000016</v>
      </c>
      <c r="BO112" s="185">
        <f t="shared" si="1026"/>
        <v>11007.747240000001</v>
      </c>
      <c r="BP112" s="185">
        <f t="shared" si="1026"/>
        <v>13500.58742</v>
      </c>
      <c r="BQ112" s="185">
        <f t="shared" si="1026"/>
        <v>16031.805854999999</v>
      </c>
      <c r="BR112" s="185">
        <f t="shared" si="1026"/>
        <v>18761.59738625</v>
      </c>
      <c r="BS112" s="185">
        <f t="shared" si="1026"/>
        <v>21421.452398749996</v>
      </c>
      <c r="BT112" s="185">
        <f t="shared" si="1026"/>
        <v>23977.859081250001</v>
      </c>
      <c r="BU112" s="185">
        <f t="shared" si="1026"/>
        <v>26431.430793749998</v>
      </c>
      <c r="BV112" s="185">
        <f t="shared" si="1026"/>
        <v>28071.639893749994</v>
      </c>
    </row>
    <row r="113" spans="2:74" ht="20.05" customHeight="1" x14ac:dyDescent="0.4">
      <c r="B113" s="34" t="s">
        <v>27</v>
      </c>
      <c r="C113" s="32">
        <f t="shared" ref="C113:L113" si="1027">C112/C14</f>
        <v>0.10736649399821091</v>
      </c>
      <c r="D113" s="32">
        <f t="shared" si="1027"/>
        <v>9.8126031653558599E-2</v>
      </c>
      <c r="E113" s="32">
        <f t="shared" si="1027"/>
        <v>9.0636009642128687E-2</v>
      </c>
      <c r="F113" s="32">
        <f t="shared" si="1027"/>
        <v>8.6436975715413283E-2</v>
      </c>
      <c r="G113" s="32">
        <f t="shared" si="1027"/>
        <v>6.7513780871650539E-2</v>
      </c>
      <c r="H113" s="32">
        <f t="shared" si="1027"/>
        <v>5.8567625478865008E-2</v>
      </c>
      <c r="I113" s="32">
        <f t="shared" si="1027"/>
        <v>5.3194000723942023E-2</v>
      </c>
      <c r="J113" s="32">
        <f t="shared" si="1027"/>
        <v>3.1788776891830899E-2</v>
      </c>
      <c r="K113" s="32">
        <f t="shared" si="1027"/>
        <v>8.194360813676466E-3</v>
      </c>
      <c r="L113" s="228">
        <f t="shared" si="1027"/>
        <v>0.88541538062475755</v>
      </c>
      <c r="M113" s="60">
        <v>8.2000000000000007E-3</v>
      </c>
      <c r="N113" s="38">
        <v>8.2000000000000007E-3</v>
      </c>
      <c r="O113" s="77">
        <v>8.2000000000000007E-3</v>
      </c>
      <c r="P113" s="77">
        <v>8.2000000000000007E-3</v>
      </c>
      <c r="Q113" s="77">
        <v>8.2000000000000007E-3</v>
      </c>
      <c r="R113" s="77">
        <v>8.2000000000000007E-3</v>
      </c>
      <c r="S113" s="77">
        <v>8.2000000000000007E-3</v>
      </c>
      <c r="T113" s="77">
        <v>8.2000000000000007E-3</v>
      </c>
      <c r="U113" s="77">
        <v>8.2000000000000007E-3</v>
      </c>
      <c r="V113" s="77">
        <v>8.2000000000000007E-3</v>
      </c>
      <c r="W113" s="77">
        <v>8.2000000000000007E-3</v>
      </c>
      <c r="X113" s="77">
        <v>8.2000000000000007E-3</v>
      </c>
      <c r="Y113" s="77">
        <v>8.2000000000000007E-3</v>
      </c>
      <c r="Z113" s="77">
        <v>8.2000000000000007E-3</v>
      </c>
      <c r="AA113" s="77">
        <v>8.2000000000000007E-3</v>
      </c>
      <c r="AB113" s="77">
        <v>8.2000000000000007E-3</v>
      </c>
      <c r="AC113" s="77">
        <v>8.2000000000000007E-3</v>
      </c>
      <c r="AD113" s="77">
        <v>8.2000000000000007E-3</v>
      </c>
      <c r="AE113" s="77">
        <v>8.2000000000000007E-3</v>
      </c>
      <c r="AF113" s="77">
        <v>8.2000000000000007E-3</v>
      </c>
      <c r="AG113" s="77">
        <v>8.2000000000000007E-3</v>
      </c>
      <c r="AH113" s="77">
        <v>8.2000000000000007E-3</v>
      </c>
      <c r="AI113" s="77">
        <v>8.2000000000000007E-3</v>
      </c>
      <c r="AJ113" s="77">
        <v>8.2000000000000007E-3</v>
      </c>
      <c r="AK113" s="77">
        <v>8.2000000000000007E-3</v>
      </c>
      <c r="AL113" s="77">
        <v>8.2000000000000007E-3</v>
      </c>
      <c r="AM113" s="77">
        <v>8.2000000000000007E-3</v>
      </c>
      <c r="AN113" s="77">
        <v>8.2000000000000007E-3</v>
      </c>
      <c r="AO113" s="77">
        <v>8.2000000000000007E-3</v>
      </c>
      <c r="AP113" s="77">
        <v>8.2000000000000007E-3</v>
      </c>
      <c r="AQ113" s="77">
        <v>8.2000000000000007E-3</v>
      </c>
      <c r="AR113" s="77">
        <v>8.2000000000000007E-3</v>
      </c>
      <c r="AS113" s="77">
        <v>8.2000000000000007E-3</v>
      </c>
      <c r="AT113" s="77">
        <v>8.2000000000000007E-3</v>
      </c>
      <c r="AU113" s="77">
        <v>8.2000000000000007E-3</v>
      </c>
      <c r="AV113" s="77">
        <v>8.2000000000000007E-3</v>
      </c>
      <c r="AW113" s="77">
        <v>8.2000000000000007E-3</v>
      </c>
      <c r="AX113" s="77">
        <v>8.2000000000000007E-3</v>
      </c>
      <c r="AY113" s="77">
        <v>8.2000000000000007E-3</v>
      </c>
      <c r="AZ113" s="77">
        <v>8.2000000000000007E-3</v>
      </c>
      <c r="BA113" s="77">
        <v>8.2000000000000007E-3</v>
      </c>
      <c r="BB113" s="77">
        <v>8.2000000000000007E-3</v>
      </c>
      <c r="BC113" s="77">
        <v>8.2000000000000007E-3</v>
      </c>
      <c r="BD113" s="77">
        <v>8.2000000000000007E-3</v>
      </c>
      <c r="BE113" s="77">
        <v>8.2000000000000007E-3</v>
      </c>
      <c r="BF113" s="77">
        <v>8.2000000000000007E-3</v>
      </c>
      <c r="BG113" s="1" t="s">
        <v>7</v>
      </c>
      <c r="BH113" s="34" t="s">
        <v>27</v>
      </c>
      <c r="BI113" s="31">
        <f>BI112/BI102</f>
        <v>9.5257557471402535E-2</v>
      </c>
      <c r="BJ113" s="31">
        <f t="shared" ref="BJ113:BV113" si="1028">BJ112/BJ102</f>
        <v>5.2272492470059044E-2</v>
      </c>
      <c r="BK113" s="31">
        <f t="shared" si="1028"/>
        <v>0.64884087880221619</v>
      </c>
      <c r="BL113" s="31">
        <f t="shared" si="1028"/>
        <v>8.2000000000000007E-3</v>
      </c>
      <c r="BM113" s="31">
        <f t="shared" si="1028"/>
        <v>8.2000000000000007E-3</v>
      </c>
      <c r="BN113" s="31">
        <f t="shared" si="1028"/>
        <v>8.2000000000000024E-3</v>
      </c>
      <c r="BO113" s="31">
        <f t="shared" si="1028"/>
        <v>8.2000000000000007E-3</v>
      </c>
      <c r="BP113" s="31">
        <f t="shared" si="1028"/>
        <v>8.2000000000000007E-3</v>
      </c>
      <c r="BQ113" s="31">
        <f t="shared" si="1028"/>
        <v>8.199999999999999E-3</v>
      </c>
      <c r="BR113" s="31">
        <f t="shared" si="1028"/>
        <v>8.2000000000000024E-3</v>
      </c>
      <c r="BS113" s="31">
        <f t="shared" si="1028"/>
        <v>8.2000000000000007E-3</v>
      </c>
      <c r="BT113" s="31">
        <f t="shared" si="1028"/>
        <v>8.2000000000000007E-3</v>
      </c>
      <c r="BU113" s="31">
        <f t="shared" si="1028"/>
        <v>8.2000000000000007E-3</v>
      </c>
      <c r="BV113" s="31">
        <f t="shared" si="1028"/>
        <v>8.2000000000000007E-3</v>
      </c>
    </row>
    <row r="114" spans="2:74" ht="20.05" customHeight="1" x14ac:dyDescent="0.4">
      <c r="B114" s="33" t="s">
        <v>28</v>
      </c>
      <c r="C114" s="42">
        <v>1706</v>
      </c>
      <c r="D114" s="42">
        <v>1662</v>
      </c>
      <c r="E114" s="42">
        <v>1586</v>
      </c>
      <c r="F114" s="42">
        <v>1313</v>
      </c>
      <c r="G114" s="42">
        <v>241</v>
      </c>
      <c r="H114" s="42">
        <v>352</v>
      </c>
      <c r="I114" s="42">
        <v>188</v>
      </c>
      <c r="J114" s="42">
        <v>3</v>
      </c>
      <c r="K114" s="42">
        <v>29</v>
      </c>
      <c r="L114" s="223">
        <v>202128</v>
      </c>
      <c r="M114" s="78">
        <f t="shared" ref="M114:BF114" si="1029">M104*M115</f>
        <v>56.558250000000001</v>
      </c>
      <c r="N114" s="79">
        <f t="shared" si="1029"/>
        <v>63.963000000000001</v>
      </c>
      <c r="O114" s="79">
        <f t="shared" si="1029"/>
        <v>58.260999999999996</v>
      </c>
      <c r="P114" s="79">
        <f t="shared" si="1029"/>
        <v>73.108874999999998</v>
      </c>
      <c r="Q114" s="79">
        <f t="shared" si="1029"/>
        <v>85.832250000000002</v>
      </c>
      <c r="R114" s="79">
        <f t="shared" si="1029"/>
        <v>92.958749999999995</v>
      </c>
      <c r="S114" s="79">
        <f t="shared" si="1029"/>
        <v>85.713099999999997</v>
      </c>
      <c r="T114" s="79">
        <f t="shared" si="1029"/>
        <v>105.26202499999999</v>
      </c>
      <c r="U114" s="79">
        <f t="shared" si="1029"/>
        <v>121.01456249999998</v>
      </c>
      <c r="V114" s="79">
        <f t="shared" si="1029"/>
        <v>125.28885</v>
      </c>
      <c r="W114" s="79">
        <f t="shared" si="1029"/>
        <v>117.75079999999998</v>
      </c>
      <c r="X114" s="79">
        <f t="shared" si="1029"/>
        <v>141.82199999999997</v>
      </c>
      <c r="Y114" s="79">
        <f t="shared" si="1029"/>
        <v>160.27199999999996</v>
      </c>
      <c r="Z114" s="79">
        <f t="shared" si="1029"/>
        <v>160.14273749999998</v>
      </c>
      <c r="AA114" s="79">
        <f t="shared" si="1029"/>
        <v>155.3937</v>
      </c>
      <c r="AB114" s="79">
        <f t="shared" si="1029"/>
        <v>184.15239999999997</v>
      </c>
      <c r="AC114" s="79">
        <f t="shared" si="1029"/>
        <v>205.35717499999996</v>
      </c>
      <c r="AD114" s="79">
        <f t="shared" si="1029"/>
        <v>199.89774999999997</v>
      </c>
      <c r="AE114" s="79">
        <f t="shared" si="1029"/>
        <v>195.33787499999997</v>
      </c>
      <c r="AF114" s="79">
        <f t="shared" si="1029"/>
        <v>228.50962499999994</v>
      </c>
      <c r="AG114" s="79">
        <f t="shared" si="1029"/>
        <v>252.20924999999994</v>
      </c>
      <c r="AH114" s="79">
        <f t="shared" si="1029"/>
        <v>240.27531249999996</v>
      </c>
      <c r="AI114" s="79">
        <f t="shared" si="1029"/>
        <v>238.97101874999993</v>
      </c>
      <c r="AJ114" s="79">
        <f t="shared" si="1029"/>
        <v>277.1244749999999</v>
      </c>
      <c r="AK114" s="79">
        <f t="shared" si="1029"/>
        <v>303.76518749999991</v>
      </c>
      <c r="AL114" s="79">
        <f t="shared" si="1029"/>
        <v>285.41642499999995</v>
      </c>
      <c r="AM114" s="79">
        <f t="shared" si="1029"/>
        <v>283.16469999999998</v>
      </c>
      <c r="AN114" s="79">
        <f t="shared" si="1029"/>
        <v>326.33428124999983</v>
      </c>
      <c r="AO114" s="79">
        <f t="shared" si="1029"/>
        <v>355.91953749999993</v>
      </c>
      <c r="AP114" s="79">
        <f t="shared" si="1029"/>
        <v>330.70364999999993</v>
      </c>
      <c r="AQ114" s="79">
        <f t="shared" si="1029"/>
        <v>326.5449843749999</v>
      </c>
      <c r="AR114" s="79">
        <f t="shared" si="1029"/>
        <v>374.6861156249999</v>
      </c>
      <c r="AS114" s="79">
        <f t="shared" si="1029"/>
        <v>407.14191562499991</v>
      </c>
      <c r="AT114" s="79">
        <f t="shared" si="1029"/>
        <v>374.77902812499991</v>
      </c>
      <c r="AU114" s="79">
        <f t="shared" si="1029"/>
        <v>368.34542499999986</v>
      </c>
      <c r="AV114" s="79">
        <f t="shared" si="1029"/>
        <v>421.54262499999987</v>
      </c>
      <c r="AW114" s="79">
        <f t="shared" si="1029"/>
        <v>456.90697499999993</v>
      </c>
      <c r="AX114" s="79">
        <f t="shared" si="1029"/>
        <v>417.31013124999987</v>
      </c>
      <c r="AY114" s="79">
        <f t="shared" si="1029"/>
        <v>408.7007031249999</v>
      </c>
      <c r="AZ114" s="79">
        <f t="shared" si="1029"/>
        <v>466.96185937499996</v>
      </c>
      <c r="BA114" s="79">
        <f t="shared" si="1029"/>
        <v>505.17860937499984</v>
      </c>
      <c r="BB114" s="79">
        <f t="shared" si="1029"/>
        <v>458.18029687499984</v>
      </c>
      <c r="BC114" s="79">
        <f t="shared" si="1029"/>
        <v>434.80411874999987</v>
      </c>
      <c r="BD114" s="79">
        <f t="shared" si="1029"/>
        <v>498.08469374999981</v>
      </c>
      <c r="BE114" s="79">
        <f t="shared" si="1029"/>
        <v>538.98260624999989</v>
      </c>
      <c r="BF114" s="79">
        <f t="shared" si="1029"/>
        <v>486.71548749999982</v>
      </c>
      <c r="BG114" s="1" t="s">
        <v>7</v>
      </c>
      <c r="BH114" s="33" t="s">
        <v>28</v>
      </c>
      <c r="BI114" s="185">
        <f t="shared" ref="BI114:BV114" si="1030">SUMIF($C$4:$BF$4,BI$5,$C114:$BF114)</f>
        <v>6267</v>
      </c>
      <c r="BJ114" s="185">
        <f t="shared" si="1030"/>
        <v>784</v>
      </c>
      <c r="BK114" s="185">
        <f t="shared" si="1030"/>
        <v>202277.52124999999</v>
      </c>
      <c r="BL114" s="185">
        <f t="shared" si="1030"/>
        <v>310.16087499999998</v>
      </c>
      <c r="BM114" s="185">
        <f t="shared" si="1030"/>
        <v>437.27853749999997</v>
      </c>
      <c r="BN114" s="185">
        <f t="shared" si="1030"/>
        <v>579.98753749999992</v>
      </c>
      <c r="BO114" s="185">
        <f t="shared" si="1030"/>
        <v>744.80102499999987</v>
      </c>
      <c r="BP114" s="185">
        <f t="shared" si="1030"/>
        <v>916.33206249999978</v>
      </c>
      <c r="BQ114" s="185">
        <f t="shared" si="1030"/>
        <v>1105.2771062499996</v>
      </c>
      <c r="BR114" s="185">
        <f t="shared" si="1030"/>
        <v>1296.1221687499997</v>
      </c>
      <c r="BS114" s="185">
        <f t="shared" si="1030"/>
        <v>1483.1520437499996</v>
      </c>
      <c r="BT114" s="185">
        <f t="shared" si="1030"/>
        <v>1664.1051562499995</v>
      </c>
      <c r="BU114" s="185">
        <f t="shared" si="1030"/>
        <v>1839.0214687499997</v>
      </c>
      <c r="BV114" s="185">
        <f t="shared" si="1030"/>
        <v>1958.5869062499994</v>
      </c>
    </row>
    <row r="115" spans="2:74" ht="20.05" customHeight="1" x14ac:dyDescent="0.4">
      <c r="B115" s="34" t="s">
        <v>29</v>
      </c>
      <c r="C115" s="31">
        <f t="shared" ref="C115:L115" si="1031">C114/C16</f>
        <v>5.4066045509285669E-2</v>
      </c>
      <c r="D115" s="31">
        <f t="shared" si="1031"/>
        <v>4.445276559323847E-2</v>
      </c>
      <c r="E115" s="31">
        <f t="shared" si="1031"/>
        <v>3.7788896831069813E-2</v>
      </c>
      <c r="F115" s="31">
        <f t="shared" si="1031"/>
        <v>2.5444750203480485E-2</v>
      </c>
      <c r="G115" s="31">
        <f t="shared" si="1031"/>
        <v>4.3210097895076561E-3</v>
      </c>
      <c r="H115" s="31">
        <f t="shared" si="1031"/>
        <v>5.403082212807761E-3</v>
      </c>
      <c r="I115" s="31">
        <f t="shared" si="1031"/>
        <v>2.8176613410868978E-3</v>
      </c>
      <c r="J115" s="31">
        <f t="shared" si="1031"/>
        <v>4.1502386387217262E-5</v>
      </c>
      <c r="K115" s="31">
        <f t="shared" si="1031"/>
        <v>4.0030920435094692E-4</v>
      </c>
      <c r="L115" s="227">
        <f t="shared" si="1031"/>
        <v>0.680751316015479</v>
      </c>
      <c r="M115" s="60">
        <v>5.0000000000000001E-4</v>
      </c>
      <c r="N115" s="38">
        <v>5.0000000000000001E-4</v>
      </c>
      <c r="O115" s="77">
        <v>5.0000000000000001E-4</v>
      </c>
      <c r="P115" s="77">
        <v>5.0000000000000001E-4</v>
      </c>
      <c r="Q115" s="77">
        <v>5.0000000000000001E-4</v>
      </c>
      <c r="R115" s="77">
        <v>5.0000000000000001E-4</v>
      </c>
      <c r="S115" s="77">
        <v>5.0000000000000001E-4</v>
      </c>
      <c r="T115" s="77">
        <v>5.0000000000000001E-4</v>
      </c>
      <c r="U115" s="77">
        <v>5.0000000000000001E-4</v>
      </c>
      <c r="V115" s="77">
        <v>5.0000000000000001E-4</v>
      </c>
      <c r="W115" s="77">
        <v>5.0000000000000001E-4</v>
      </c>
      <c r="X115" s="77">
        <v>5.0000000000000001E-4</v>
      </c>
      <c r="Y115" s="77">
        <v>5.0000000000000001E-4</v>
      </c>
      <c r="Z115" s="77">
        <v>5.0000000000000001E-4</v>
      </c>
      <c r="AA115" s="77">
        <v>5.0000000000000001E-4</v>
      </c>
      <c r="AB115" s="77">
        <v>5.0000000000000001E-4</v>
      </c>
      <c r="AC115" s="77">
        <v>5.0000000000000001E-4</v>
      </c>
      <c r="AD115" s="77">
        <v>5.0000000000000001E-4</v>
      </c>
      <c r="AE115" s="77">
        <v>5.0000000000000001E-4</v>
      </c>
      <c r="AF115" s="77">
        <v>5.0000000000000001E-4</v>
      </c>
      <c r="AG115" s="77">
        <v>5.0000000000000001E-4</v>
      </c>
      <c r="AH115" s="77">
        <v>5.0000000000000001E-4</v>
      </c>
      <c r="AI115" s="77">
        <v>5.0000000000000001E-4</v>
      </c>
      <c r="AJ115" s="77">
        <v>5.0000000000000001E-4</v>
      </c>
      <c r="AK115" s="77">
        <v>5.0000000000000001E-4</v>
      </c>
      <c r="AL115" s="77">
        <v>5.0000000000000001E-4</v>
      </c>
      <c r="AM115" s="77">
        <v>5.0000000000000001E-4</v>
      </c>
      <c r="AN115" s="77">
        <v>5.0000000000000001E-4</v>
      </c>
      <c r="AO115" s="77">
        <v>5.0000000000000001E-4</v>
      </c>
      <c r="AP115" s="77">
        <v>5.0000000000000001E-4</v>
      </c>
      <c r="AQ115" s="77">
        <v>5.0000000000000001E-4</v>
      </c>
      <c r="AR115" s="77">
        <v>5.0000000000000001E-4</v>
      </c>
      <c r="AS115" s="77">
        <v>5.0000000000000001E-4</v>
      </c>
      <c r="AT115" s="77">
        <v>5.0000000000000001E-4</v>
      </c>
      <c r="AU115" s="77">
        <v>5.0000000000000001E-4</v>
      </c>
      <c r="AV115" s="77">
        <v>5.0000000000000001E-4</v>
      </c>
      <c r="AW115" s="77">
        <v>5.0000000000000001E-4</v>
      </c>
      <c r="AX115" s="77">
        <v>5.0000000000000001E-4</v>
      </c>
      <c r="AY115" s="77">
        <v>5.0000000000000001E-4</v>
      </c>
      <c r="AZ115" s="77">
        <v>5.0000000000000001E-4</v>
      </c>
      <c r="BA115" s="77">
        <v>5.0000000000000001E-4</v>
      </c>
      <c r="BB115" s="77">
        <v>5.0000000000000001E-4</v>
      </c>
      <c r="BC115" s="77">
        <v>5.0000000000000001E-4</v>
      </c>
      <c r="BD115" s="77">
        <v>5.0000000000000001E-4</v>
      </c>
      <c r="BE115" s="77">
        <v>5.0000000000000001E-4</v>
      </c>
      <c r="BF115" s="77">
        <v>5.0000000000000001E-4</v>
      </c>
      <c r="BG115" s="1" t="s">
        <v>7</v>
      </c>
      <c r="BH115" s="34" t="s">
        <v>29</v>
      </c>
      <c r="BI115" s="31">
        <f>BI114/BI104</f>
        <v>3.8562831509900683E-2</v>
      </c>
      <c r="BJ115" s="31">
        <f t="shared" ref="BJ115:BV115" si="1032">BJ114/BJ104</f>
        <v>3.016208272258963E-3</v>
      </c>
      <c r="BK115" s="31">
        <f t="shared" si="1032"/>
        <v>0.33138220617278186</v>
      </c>
      <c r="BL115" s="31">
        <f t="shared" si="1032"/>
        <v>5.0000000000000001E-4</v>
      </c>
      <c r="BM115" s="31">
        <f t="shared" si="1032"/>
        <v>5.0000000000000001E-4</v>
      </c>
      <c r="BN115" s="31">
        <f t="shared" si="1032"/>
        <v>5.0000000000000001E-4</v>
      </c>
      <c r="BO115" s="31">
        <f t="shared" si="1032"/>
        <v>5.0000000000000001E-4</v>
      </c>
      <c r="BP115" s="31">
        <f t="shared" si="1032"/>
        <v>5.0000000000000001E-4</v>
      </c>
      <c r="BQ115" s="31">
        <f t="shared" si="1032"/>
        <v>5.0000000000000001E-4</v>
      </c>
      <c r="BR115" s="31">
        <f t="shared" si="1032"/>
        <v>5.0000000000000012E-4</v>
      </c>
      <c r="BS115" s="31">
        <f t="shared" si="1032"/>
        <v>5.0000000000000001E-4</v>
      </c>
      <c r="BT115" s="31">
        <f t="shared" si="1032"/>
        <v>5.0000000000000001E-4</v>
      </c>
      <c r="BU115" s="31">
        <f t="shared" si="1032"/>
        <v>5.0000000000000012E-4</v>
      </c>
      <c r="BV115" s="31">
        <f t="shared" si="1032"/>
        <v>5.0000000000000001E-4</v>
      </c>
    </row>
    <row r="116" spans="2:74" ht="20.05" customHeight="1" x14ac:dyDescent="0.4">
      <c r="B116" s="33" t="s">
        <v>31</v>
      </c>
      <c r="C116" s="42">
        <v>583</v>
      </c>
      <c r="D116" s="42">
        <v>466</v>
      </c>
      <c r="E116" s="42">
        <v>704</v>
      </c>
      <c r="F116" s="42">
        <v>601</v>
      </c>
      <c r="G116" s="42">
        <v>507</v>
      </c>
      <c r="H116" s="42">
        <v>-21</v>
      </c>
      <c r="I116" s="42">
        <v>304</v>
      </c>
      <c r="J116" s="42">
        <v>47</v>
      </c>
      <c r="K116" s="42">
        <v>24</v>
      </c>
      <c r="L116" s="223">
        <v>194318</v>
      </c>
      <c r="M116" s="75">
        <f t="shared" ref="M116:BF116" si="1033">M106*M117</f>
        <v>32.319000000000003</v>
      </c>
      <c r="N116" s="76">
        <f t="shared" si="1033"/>
        <v>38.377799999999993</v>
      </c>
      <c r="O116" s="76">
        <f t="shared" si="1033"/>
        <v>36.621199999999995</v>
      </c>
      <c r="P116" s="76">
        <f t="shared" si="1033"/>
        <v>41.776499999999999</v>
      </c>
      <c r="Q116" s="76">
        <f t="shared" si="1033"/>
        <v>49.047000000000011</v>
      </c>
      <c r="R116" s="76">
        <f t="shared" si="1033"/>
        <v>55.77525</v>
      </c>
      <c r="S116" s="76">
        <f t="shared" si="1033"/>
        <v>55.26576</v>
      </c>
      <c r="T116" s="76">
        <f t="shared" si="1033"/>
        <v>61.58614</v>
      </c>
      <c r="U116" s="76">
        <f t="shared" si="1033"/>
        <v>70.802550000000011</v>
      </c>
      <c r="V116" s="76">
        <f t="shared" si="1033"/>
        <v>77.371359999999996</v>
      </c>
      <c r="W116" s="76">
        <f t="shared" si="1033"/>
        <v>78.009905000000003</v>
      </c>
      <c r="X116" s="76">
        <f t="shared" si="1033"/>
        <v>85.093199999999996</v>
      </c>
      <c r="Y116" s="76">
        <f t="shared" si="1033"/>
        <v>96.163200000000003</v>
      </c>
      <c r="Z116" s="76">
        <f t="shared" si="1033"/>
        <v>102.01685499999999</v>
      </c>
      <c r="AA116" s="76">
        <f t="shared" si="1033"/>
        <v>104.26415999999999</v>
      </c>
      <c r="AB116" s="76">
        <f t="shared" si="1033"/>
        <v>111.67952000000001</v>
      </c>
      <c r="AC116" s="76">
        <f t="shared" si="1033"/>
        <v>124.53919</v>
      </c>
      <c r="AD116" s="76">
        <f t="shared" si="1033"/>
        <v>129.16469999999998</v>
      </c>
      <c r="AE116" s="76">
        <f t="shared" si="1033"/>
        <v>132.82975500000001</v>
      </c>
      <c r="AF116" s="76">
        <f t="shared" si="1033"/>
        <v>140.15257</v>
      </c>
      <c r="AG116" s="76">
        <f t="shared" si="1033"/>
        <v>154.68834000000001</v>
      </c>
      <c r="AH116" s="76">
        <f t="shared" si="1033"/>
        <v>157.62060499999998</v>
      </c>
      <c r="AI116" s="76">
        <f t="shared" si="1033"/>
        <v>162.01425</v>
      </c>
      <c r="AJ116" s="76">
        <f t="shared" si="1033"/>
        <v>169.09289999999999</v>
      </c>
      <c r="AK116" s="76">
        <f t="shared" si="1033"/>
        <v>185.34824999999998</v>
      </c>
      <c r="AL116" s="76">
        <f t="shared" si="1033"/>
        <v>186.39439999999996</v>
      </c>
      <c r="AM116" s="76">
        <f t="shared" si="1033"/>
        <v>191.38028</v>
      </c>
      <c r="AN116" s="76">
        <f t="shared" si="1033"/>
        <v>198.05114999999995</v>
      </c>
      <c r="AO116" s="76">
        <f t="shared" si="1033"/>
        <v>216.00633999999999</v>
      </c>
      <c r="AP116" s="76">
        <f t="shared" si="1033"/>
        <v>214.95737249999996</v>
      </c>
      <c r="AQ116" s="76">
        <f t="shared" si="1033"/>
        <v>219.98819999999998</v>
      </c>
      <c r="AR116" s="76">
        <f t="shared" si="1033"/>
        <v>226.12635749999998</v>
      </c>
      <c r="AS116" s="76">
        <f t="shared" si="1033"/>
        <v>245.71371749999997</v>
      </c>
      <c r="AT116" s="76">
        <f t="shared" si="1033"/>
        <v>242.41026499999995</v>
      </c>
      <c r="AU116" s="76">
        <f t="shared" si="1033"/>
        <v>247.31764249999998</v>
      </c>
      <c r="AV116" s="76">
        <f t="shared" si="1033"/>
        <v>252.92557499999998</v>
      </c>
      <c r="AW116" s="76">
        <f t="shared" si="1033"/>
        <v>274.14418499999999</v>
      </c>
      <c r="AX116" s="76">
        <f t="shared" si="1033"/>
        <v>268.52999749999992</v>
      </c>
      <c r="AY116" s="76">
        <f t="shared" si="1033"/>
        <v>273.45792499999993</v>
      </c>
      <c r="AZ116" s="76">
        <f t="shared" si="1033"/>
        <v>278.47907250000003</v>
      </c>
      <c r="BA116" s="76">
        <f t="shared" si="1033"/>
        <v>301.27015249999999</v>
      </c>
      <c r="BB116" s="76">
        <f t="shared" si="1033"/>
        <v>293.23538999999988</v>
      </c>
      <c r="BC116" s="76">
        <f t="shared" si="1033"/>
        <v>289.8694124999999</v>
      </c>
      <c r="BD116" s="76">
        <f t="shared" si="1033"/>
        <v>295.16129999999993</v>
      </c>
      <c r="BE116" s="76">
        <f t="shared" si="1033"/>
        <v>319.39709999999997</v>
      </c>
      <c r="BF116" s="76">
        <f t="shared" si="1033"/>
        <v>309.72803749999991</v>
      </c>
      <c r="BG116" s="1" t="s">
        <v>7</v>
      </c>
      <c r="BH116" s="33" t="s">
        <v>31</v>
      </c>
      <c r="BI116" s="185">
        <f t="shared" ref="BI116:BV116" si="1034">SUMIF($C$4:$BF$4,BI$5,$C116:$BF116)</f>
        <v>2354</v>
      </c>
      <c r="BJ116" s="185">
        <f t="shared" si="1034"/>
        <v>837</v>
      </c>
      <c r="BK116" s="185">
        <f t="shared" si="1034"/>
        <v>194412.69679999998</v>
      </c>
      <c r="BL116" s="185">
        <f t="shared" si="1034"/>
        <v>183.21994999999998</v>
      </c>
      <c r="BM116" s="185">
        <f t="shared" si="1034"/>
        <v>265.02580999999998</v>
      </c>
      <c r="BN116" s="185">
        <f t="shared" si="1034"/>
        <v>361.28315999999995</v>
      </c>
      <c r="BO116" s="185">
        <f t="shared" si="1034"/>
        <v>469.64756999999997</v>
      </c>
      <c r="BP116" s="185">
        <f t="shared" si="1034"/>
        <v>585.29126999999994</v>
      </c>
      <c r="BQ116" s="185">
        <f t="shared" si="1034"/>
        <v>702.84979999999996</v>
      </c>
      <c r="BR116" s="185">
        <f t="shared" si="1034"/>
        <v>820.39514250000002</v>
      </c>
      <c r="BS116" s="185">
        <f t="shared" si="1034"/>
        <v>934.23853999999983</v>
      </c>
      <c r="BT116" s="185">
        <f t="shared" si="1034"/>
        <v>1042.9173999999998</v>
      </c>
      <c r="BU116" s="185">
        <f t="shared" si="1034"/>
        <v>1146.4425399999998</v>
      </c>
      <c r="BV116" s="185">
        <f t="shared" si="1034"/>
        <v>1214.1558499999996</v>
      </c>
    </row>
    <row r="117" spans="2:74" ht="20.05" customHeight="1" x14ac:dyDescent="0.4">
      <c r="B117" s="34" t="s">
        <v>30</v>
      </c>
      <c r="C117" s="37">
        <f t="shared" ref="C117:L117" si="1035">C116/C18</f>
        <v>4.0883590462833103E-2</v>
      </c>
      <c r="D117" s="37">
        <f t="shared" si="1035"/>
        <v>3.1826253244092335E-2</v>
      </c>
      <c r="E117" s="37">
        <f t="shared" si="1035"/>
        <v>4.4975404075895994E-2</v>
      </c>
      <c r="F117" s="37">
        <f t="shared" si="1035"/>
        <v>3.5187353629976582E-2</v>
      </c>
      <c r="G117" s="37">
        <f t="shared" si="1035"/>
        <v>2.6872316743520433E-2</v>
      </c>
      <c r="H117" s="37">
        <f t="shared" si="1035"/>
        <v>-1.177526073791634E-3</v>
      </c>
      <c r="I117" s="37">
        <f t="shared" si="1035"/>
        <v>1.6242786920282113E-2</v>
      </c>
      <c r="J117" s="37">
        <f t="shared" si="1035"/>
        <v>2.1304564616291192E-3</v>
      </c>
      <c r="K117" s="37">
        <f t="shared" si="1035"/>
        <v>9.9153067548027264E-4</v>
      </c>
      <c r="L117" s="229">
        <f t="shared" si="1035"/>
        <v>0.86679840663041585</v>
      </c>
      <c r="M117" s="61">
        <v>1E-3</v>
      </c>
      <c r="N117" s="39">
        <v>1E-3</v>
      </c>
      <c r="O117" s="39">
        <v>1E-3</v>
      </c>
      <c r="P117" s="39">
        <v>1E-3</v>
      </c>
      <c r="Q117" s="39">
        <v>1E-3</v>
      </c>
      <c r="R117" s="39">
        <v>1E-3</v>
      </c>
      <c r="S117" s="39">
        <v>1E-3</v>
      </c>
      <c r="T117" s="39">
        <v>1E-3</v>
      </c>
      <c r="U117" s="39">
        <v>1E-3</v>
      </c>
      <c r="V117" s="39">
        <v>1E-3</v>
      </c>
      <c r="W117" s="39">
        <v>1E-3</v>
      </c>
      <c r="X117" s="39">
        <v>1E-3</v>
      </c>
      <c r="Y117" s="39">
        <v>1E-3</v>
      </c>
      <c r="Z117" s="39">
        <v>1E-3</v>
      </c>
      <c r="AA117" s="39">
        <v>1E-3</v>
      </c>
      <c r="AB117" s="39">
        <v>1E-3</v>
      </c>
      <c r="AC117" s="39">
        <v>1E-3</v>
      </c>
      <c r="AD117" s="39">
        <v>1E-3</v>
      </c>
      <c r="AE117" s="39">
        <v>1E-3</v>
      </c>
      <c r="AF117" s="39">
        <v>1E-3</v>
      </c>
      <c r="AG117" s="39">
        <v>1E-3</v>
      </c>
      <c r="AH117" s="39">
        <v>1E-3</v>
      </c>
      <c r="AI117" s="39">
        <v>1E-3</v>
      </c>
      <c r="AJ117" s="39">
        <v>1E-3</v>
      </c>
      <c r="AK117" s="39">
        <v>1E-3</v>
      </c>
      <c r="AL117" s="39">
        <v>1E-3</v>
      </c>
      <c r="AM117" s="39">
        <v>1E-3</v>
      </c>
      <c r="AN117" s="39">
        <v>1E-3</v>
      </c>
      <c r="AO117" s="39">
        <v>1E-3</v>
      </c>
      <c r="AP117" s="39">
        <v>1E-3</v>
      </c>
      <c r="AQ117" s="39">
        <v>1E-3</v>
      </c>
      <c r="AR117" s="39">
        <v>1E-3</v>
      </c>
      <c r="AS117" s="39">
        <v>1E-3</v>
      </c>
      <c r="AT117" s="39">
        <v>1E-3</v>
      </c>
      <c r="AU117" s="39">
        <v>1E-3</v>
      </c>
      <c r="AV117" s="39">
        <v>1E-3</v>
      </c>
      <c r="AW117" s="39">
        <v>1E-3</v>
      </c>
      <c r="AX117" s="39">
        <v>1E-3</v>
      </c>
      <c r="AY117" s="39">
        <v>1E-3</v>
      </c>
      <c r="AZ117" s="39">
        <v>1E-3</v>
      </c>
      <c r="BA117" s="39">
        <v>1E-3</v>
      </c>
      <c r="BB117" s="39">
        <v>1E-3</v>
      </c>
      <c r="BC117" s="39">
        <v>1E-3</v>
      </c>
      <c r="BD117" s="39">
        <v>1E-3</v>
      </c>
      <c r="BE117" s="39">
        <v>1E-3</v>
      </c>
      <c r="BF117" s="39">
        <v>1E-3</v>
      </c>
      <c r="BG117" s="1" t="s">
        <v>7</v>
      </c>
      <c r="BH117" s="34" t="s">
        <v>30</v>
      </c>
      <c r="BI117" s="31">
        <f>BI116/BI106</f>
        <v>3.8192585381682485E-2</v>
      </c>
      <c r="BJ117" s="31">
        <f t="shared" ref="BJ117:BV117" si="1036">BJ116/BJ106</f>
        <v>1.0803066676992178E-2</v>
      </c>
      <c r="BK117" s="31">
        <f t="shared" si="1036"/>
        <v>0.60928986263040574</v>
      </c>
      <c r="BL117" s="31">
        <f t="shared" si="1036"/>
        <v>9.999999999999998E-4</v>
      </c>
      <c r="BM117" s="31">
        <f t="shared" si="1036"/>
        <v>1E-3</v>
      </c>
      <c r="BN117" s="31">
        <f t="shared" si="1036"/>
        <v>1E-3</v>
      </c>
      <c r="BO117" s="31">
        <f t="shared" si="1036"/>
        <v>1E-3</v>
      </c>
      <c r="BP117" s="31">
        <f t="shared" si="1036"/>
        <v>9.999999999999998E-4</v>
      </c>
      <c r="BQ117" s="31">
        <f t="shared" si="1036"/>
        <v>9.999999999999998E-4</v>
      </c>
      <c r="BR117" s="31">
        <f t="shared" si="1036"/>
        <v>1.0000000000000002E-3</v>
      </c>
      <c r="BS117" s="31">
        <f t="shared" si="1036"/>
        <v>1E-3</v>
      </c>
      <c r="BT117" s="31">
        <f t="shared" si="1036"/>
        <v>1E-3</v>
      </c>
      <c r="BU117" s="31">
        <f t="shared" si="1036"/>
        <v>1E-3</v>
      </c>
      <c r="BV117" s="31">
        <f t="shared" si="1036"/>
        <v>9.999999999999998E-4</v>
      </c>
    </row>
    <row r="118" spans="2:74" ht="20.05" customHeight="1" x14ac:dyDescent="0.4">
      <c r="B118" s="24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53"/>
      <c r="BG118" s="1" t="s">
        <v>7</v>
      </c>
      <c r="BH118" s="24"/>
    </row>
    <row r="119" spans="2:74" ht="20.05" customHeight="1" x14ac:dyDescent="0.4">
      <c r="B119" s="158" t="s">
        <v>32</v>
      </c>
      <c r="C119" s="159"/>
      <c r="D119" s="159"/>
      <c r="E119" s="159"/>
      <c r="F119" s="159"/>
      <c r="G119" s="159"/>
      <c r="H119" s="159"/>
      <c r="I119" s="159"/>
      <c r="J119" s="159"/>
      <c r="K119" s="159"/>
      <c r="L119" s="160">
        <f>762.3*1000</f>
        <v>762300</v>
      </c>
      <c r="M119" s="161">
        <f>IF(L119-M121&gt;0,L119-M121,0)</f>
        <v>707850</v>
      </c>
      <c r="N119" s="162">
        <f t="shared" ref="N119:AA119" si="1037">IF(M119-N121&gt;0,M119-N121,0)</f>
        <v>653400</v>
      </c>
      <c r="O119" s="162">
        <f t="shared" si="1037"/>
        <v>598950</v>
      </c>
      <c r="P119" s="162">
        <f t="shared" si="1037"/>
        <v>544500</v>
      </c>
      <c r="Q119" s="162">
        <f t="shared" si="1037"/>
        <v>490050</v>
      </c>
      <c r="R119" s="162">
        <f t="shared" si="1037"/>
        <v>435600</v>
      </c>
      <c r="S119" s="162">
        <f t="shared" si="1037"/>
        <v>381150</v>
      </c>
      <c r="T119" s="162">
        <f t="shared" si="1037"/>
        <v>326700</v>
      </c>
      <c r="U119" s="162">
        <f t="shared" si="1037"/>
        <v>272250</v>
      </c>
      <c r="V119" s="162">
        <f t="shared" si="1037"/>
        <v>217800</v>
      </c>
      <c r="W119" s="162">
        <f t="shared" si="1037"/>
        <v>163350</v>
      </c>
      <c r="X119" s="162">
        <f t="shared" si="1037"/>
        <v>108900</v>
      </c>
      <c r="Y119" s="162">
        <f t="shared" si="1037"/>
        <v>54450</v>
      </c>
      <c r="Z119" s="163">
        <f t="shared" si="1037"/>
        <v>0</v>
      </c>
      <c r="AA119" s="42">
        <f t="shared" si="1037"/>
        <v>0</v>
      </c>
      <c r="AB119" s="42">
        <f t="shared" ref="AB119:BF119" si="1038">IF(AA119-AB121&gt;0,AA119-AB121,0)</f>
        <v>0</v>
      </c>
      <c r="AC119" s="42">
        <f t="shared" si="1038"/>
        <v>0</v>
      </c>
      <c r="AD119" s="42">
        <f t="shared" si="1038"/>
        <v>0</v>
      </c>
      <c r="AE119" s="42">
        <f t="shared" si="1038"/>
        <v>0</v>
      </c>
      <c r="AF119" s="42">
        <f t="shared" si="1038"/>
        <v>0</v>
      </c>
      <c r="AG119" s="42">
        <f t="shared" si="1038"/>
        <v>0</v>
      </c>
      <c r="AH119" s="42">
        <f t="shared" si="1038"/>
        <v>0</v>
      </c>
      <c r="AI119" s="42">
        <f t="shared" si="1038"/>
        <v>0</v>
      </c>
      <c r="AJ119" s="42">
        <f t="shared" si="1038"/>
        <v>0</v>
      </c>
      <c r="AK119" s="42">
        <f t="shared" si="1038"/>
        <v>0</v>
      </c>
      <c r="AL119" s="42">
        <f t="shared" si="1038"/>
        <v>0</v>
      </c>
      <c r="AM119" s="42">
        <f t="shared" si="1038"/>
        <v>0</v>
      </c>
      <c r="AN119" s="42">
        <f t="shared" si="1038"/>
        <v>0</v>
      </c>
      <c r="AO119" s="42">
        <f t="shared" si="1038"/>
        <v>0</v>
      </c>
      <c r="AP119" s="42">
        <f t="shared" si="1038"/>
        <v>0</v>
      </c>
      <c r="AQ119" s="42">
        <f t="shared" si="1038"/>
        <v>0</v>
      </c>
      <c r="AR119" s="42">
        <f t="shared" si="1038"/>
        <v>0</v>
      </c>
      <c r="AS119" s="42">
        <f t="shared" si="1038"/>
        <v>0</v>
      </c>
      <c r="AT119" s="42">
        <f t="shared" si="1038"/>
        <v>0</v>
      </c>
      <c r="AU119" s="42">
        <f t="shared" si="1038"/>
        <v>0</v>
      </c>
      <c r="AV119" s="42">
        <f t="shared" si="1038"/>
        <v>0</v>
      </c>
      <c r="AW119" s="42">
        <f t="shared" si="1038"/>
        <v>0</v>
      </c>
      <c r="AX119" s="42">
        <f t="shared" si="1038"/>
        <v>0</v>
      </c>
      <c r="AY119" s="42">
        <f t="shared" si="1038"/>
        <v>0</v>
      </c>
      <c r="AZ119" s="42">
        <f t="shared" si="1038"/>
        <v>0</v>
      </c>
      <c r="BA119" s="42">
        <f t="shared" si="1038"/>
        <v>0</v>
      </c>
      <c r="BB119" s="42">
        <f t="shared" si="1038"/>
        <v>0</v>
      </c>
      <c r="BC119" s="42">
        <f t="shared" si="1038"/>
        <v>0</v>
      </c>
      <c r="BD119" s="42">
        <f t="shared" si="1038"/>
        <v>0</v>
      </c>
      <c r="BE119" s="42">
        <f t="shared" si="1038"/>
        <v>0</v>
      </c>
      <c r="BF119" s="42">
        <f t="shared" si="1038"/>
        <v>0</v>
      </c>
      <c r="BG119" s="1" t="s">
        <v>7</v>
      </c>
      <c r="BH119" s="158" t="s">
        <v>32</v>
      </c>
      <c r="BI119" s="162">
        <f t="shared" ref="BI119:BV120" si="1039">SUMIF($C$37:$BF$37,BI$5,$C119:$BF119)</f>
        <v>0</v>
      </c>
      <c r="BJ119" s="162">
        <f t="shared" si="1039"/>
        <v>0</v>
      </c>
      <c r="BK119" s="162">
        <f t="shared" si="1039"/>
        <v>653400</v>
      </c>
      <c r="BL119" s="162">
        <f t="shared" si="1039"/>
        <v>435600</v>
      </c>
      <c r="BM119" s="162">
        <f t="shared" si="1039"/>
        <v>217800</v>
      </c>
      <c r="BN119" s="163">
        <f t="shared" si="1039"/>
        <v>0</v>
      </c>
      <c r="BO119" s="42">
        <f t="shared" si="1039"/>
        <v>0</v>
      </c>
      <c r="BP119" s="42">
        <f t="shared" si="1039"/>
        <v>0</v>
      </c>
      <c r="BQ119" s="42">
        <f t="shared" si="1039"/>
        <v>0</v>
      </c>
      <c r="BR119" s="42">
        <f t="shared" si="1039"/>
        <v>0</v>
      </c>
      <c r="BS119" s="42">
        <f t="shared" si="1039"/>
        <v>0</v>
      </c>
      <c r="BT119" s="42">
        <f t="shared" si="1039"/>
        <v>0</v>
      </c>
      <c r="BU119" s="42">
        <f t="shared" si="1039"/>
        <v>0</v>
      </c>
      <c r="BV119" s="42">
        <f t="shared" si="1039"/>
        <v>0</v>
      </c>
    </row>
    <row r="120" spans="2:74" ht="20.05" customHeight="1" x14ac:dyDescent="0.4">
      <c r="B120" s="164" t="s">
        <v>33</v>
      </c>
      <c r="C120" s="88"/>
      <c r="D120" s="88"/>
      <c r="E120" s="88"/>
      <c r="F120" s="88"/>
      <c r="G120" s="88"/>
      <c r="H120" s="88"/>
      <c r="I120" s="88"/>
      <c r="J120" s="88"/>
      <c r="K120" s="88"/>
      <c r="L120" s="89">
        <f>3.5*4</f>
        <v>14</v>
      </c>
      <c r="M120" s="75">
        <f>IF(L120&gt;0,L120-1,0)</f>
        <v>13</v>
      </c>
      <c r="N120" s="76">
        <f t="shared" ref="N120:AA120" si="1040">IF(M120&gt;0,M120-1,0)</f>
        <v>12</v>
      </c>
      <c r="O120" s="76">
        <f t="shared" si="1040"/>
        <v>11</v>
      </c>
      <c r="P120" s="76">
        <f t="shared" si="1040"/>
        <v>10</v>
      </c>
      <c r="Q120" s="76">
        <f t="shared" si="1040"/>
        <v>9</v>
      </c>
      <c r="R120" s="76">
        <f t="shared" si="1040"/>
        <v>8</v>
      </c>
      <c r="S120" s="76">
        <f t="shared" si="1040"/>
        <v>7</v>
      </c>
      <c r="T120" s="76">
        <f t="shared" si="1040"/>
        <v>6</v>
      </c>
      <c r="U120" s="76">
        <f t="shared" si="1040"/>
        <v>5</v>
      </c>
      <c r="V120" s="76">
        <f t="shared" si="1040"/>
        <v>4</v>
      </c>
      <c r="W120" s="76">
        <f t="shared" si="1040"/>
        <v>3</v>
      </c>
      <c r="X120" s="76">
        <f t="shared" si="1040"/>
        <v>2</v>
      </c>
      <c r="Y120" s="76">
        <f t="shared" si="1040"/>
        <v>1</v>
      </c>
      <c r="Z120" s="165">
        <f t="shared" si="1040"/>
        <v>0</v>
      </c>
      <c r="AA120" s="42">
        <f t="shared" si="1040"/>
        <v>0</v>
      </c>
      <c r="AB120" s="42">
        <f t="shared" ref="AB120:BF120" si="1041">IF(AA120&gt;0,AA120-1,0)</f>
        <v>0</v>
      </c>
      <c r="AC120" s="42">
        <f t="shared" si="1041"/>
        <v>0</v>
      </c>
      <c r="AD120" s="42">
        <f t="shared" si="1041"/>
        <v>0</v>
      </c>
      <c r="AE120" s="42">
        <f t="shared" si="1041"/>
        <v>0</v>
      </c>
      <c r="AF120" s="42">
        <f t="shared" si="1041"/>
        <v>0</v>
      </c>
      <c r="AG120" s="42">
        <f t="shared" si="1041"/>
        <v>0</v>
      </c>
      <c r="AH120" s="42">
        <f t="shared" si="1041"/>
        <v>0</v>
      </c>
      <c r="AI120" s="42">
        <f t="shared" si="1041"/>
        <v>0</v>
      </c>
      <c r="AJ120" s="42">
        <f t="shared" si="1041"/>
        <v>0</v>
      </c>
      <c r="AK120" s="42">
        <f t="shared" si="1041"/>
        <v>0</v>
      </c>
      <c r="AL120" s="42">
        <f t="shared" si="1041"/>
        <v>0</v>
      </c>
      <c r="AM120" s="42">
        <f t="shared" si="1041"/>
        <v>0</v>
      </c>
      <c r="AN120" s="42">
        <f t="shared" si="1041"/>
        <v>0</v>
      </c>
      <c r="AO120" s="42">
        <f t="shared" si="1041"/>
        <v>0</v>
      </c>
      <c r="AP120" s="42">
        <f t="shared" si="1041"/>
        <v>0</v>
      </c>
      <c r="AQ120" s="42">
        <f t="shared" si="1041"/>
        <v>0</v>
      </c>
      <c r="AR120" s="42">
        <f t="shared" si="1041"/>
        <v>0</v>
      </c>
      <c r="AS120" s="42">
        <f t="shared" si="1041"/>
        <v>0</v>
      </c>
      <c r="AT120" s="42">
        <f t="shared" si="1041"/>
        <v>0</v>
      </c>
      <c r="AU120" s="42">
        <f t="shared" si="1041"/>
        <v>0</v>
      </c>
      <c r="AV120" s="42">
        <f t="shared" si="1041"/>
        <v>0</v>
      </c>
      <c r="AW120" s="42">
        <f t="shared" si="1041"/>
        <v>0</v>
      </c>
      <c r="AX120" s="42">
        <f t="shared" si="1041"/>
        <v>0</v>
      </c>
      <c r="AY120" s="42">
        <f t="shared" si="1041"/>
        <v>0</v>
      </c>
      <c r="AZ120" s="42">
        <f t="shared" si="1041"/>
        <v>0</v>
      </c>
      <c r="BA120" s="42">
        <f t="shared" si="1041"/>
        <v>0</v>
      </c>
      <c r="BB120" s="42">
        <f t="shared" si="1041"/>
        <v>0</v>
      </c>
      <c r="BC120" s="42">
        <f t="shared" si="1041"/>
        <v>0</v>
      </c>
      <c r="BD120" s="42">
        <f t="shared" si="1041"/>
        <v>0</v>
      </c>
      <c r="BE120" s="42">
        <f t="shared" si="1041"/>
        <v>0</v>
      </c>
      <c r="BF120" s="42">
        <f t="shared" si="1041"/>
        <v>0</v>
      </c>
      <c r="BG120" s="1" t="s">
        <v>7</v>
      </c>
      <c r="BH120" s="164" t="s">
        <v>33</v>
      </c>
      <c r="BI120" s="76">
        <f t="shared" si="1039"/>
        <v>0</v>
      </c>
      <c r="BJ120" s="76">
        <f t="shared" si="1039"/>
        <v>0</v>
      </c>
      <c r="BK120" s="76">
        <f t="shared" si="1039"/>
        <v>12</v>
      </c>
      <c r="BL120" s="76">
        <f t="shared" si="1039"/>
        <v>8</v>
      </c>
      <c r="BM120" s="76">
        <f t="shared" si="1039"/>
        <v>4</v>
      </c>
      <c r="BN120" s="165">
        <f t="shared" si="1039"/>
        <v>0</v>
      </c>
      <c r="BO120" s="42">
        <f t="shared" si="1039"/>
        <v>0</v>
      </c>
      <c r="BP120" s="42">
        <f t="shared" si="1039"/>
        <v>0</v>
      </c>
      <c r="BQ120" s="42">
        <f t="shared" si="1039"/>
        <v>0</v>
      </c>
      <c r="BR120" s="42">
        <f t="shared" si="1039"/>
        <v>0</v>
      </c>
      <c r="BS120" s="42">
        <f t="shared" si="1039"/>
        <v>0</v>
      </c>
      <c r="BT120" s="42">
        <f t="shared" si="1039"/>
        <v>0</v>
      </c>
      <c r="BU120" s="42">
        <f t="shared" si="1039"/>
        <v>0</v>
      </c>
      <c r="BV120" s="42">
        <f t="shared" si="1039"/>
        <v>0</v>
      </c>
    </row>
    <row r="121" spans="2:74" ht="20.05" customHeight="1" x14ac:dyDescent="0.4">
      <c r="B121" s="164" t="s">
        <v>34</v>
      </c>
      <c r="C121" s="88"/>
      <c r="D121" s="88"/>
      <c r="E121" s="88"/>
      <c r="F121" s="88"/>
      <c r="G121" s="88"/>
      <c r="H121" s="88"/>
      <c r="I121" s="88"/>
      <c r="J121" s="88"/>
      <c r="K121" s="88"/>
      <c r="L121" s="76"/>
      <c r="M121" s="75">
        <f t="shared" ref="M121:BF121" si="1042">IF(M5&lt;=$Z$5,$L$119/$L$120,0)</f>
        <v>54450</v>
      </c>
      <c r="N121" s="76">
        <f t="shared" si="1042"/>
        <v>54450</v>
      </c>
      <c r="O121" s="76">
        <f t="shared" si="1042"/>
        <v>54450</v>
      </c>
      <c r="P121" s="76">
        <f t="shared" si="1042"/>
        <v>54450</v>
      </c>
      <c r="Q121" s="76">
        <f t="shared" si="1042"/>
        <v>54450</v>
      </c>
      <c r="R121" s="76">
        <f t="shared" si="1042"/>
        <v>54450</v>
      </c>
      <c r="S121" s="76">
        <f t="shared" si="1042"/>
        <v>54450</v>
      </c>
      <c r="T121" s="76">
        <f t="shared" si="1042"/>
        <v>54450</v>
      </c>
      <c r="U121" s="76">
        <f t="shared" si="1042"/>
        <v>54450</v>
      </c>
      <c r="V121" s="76">
        <f t="shared" si="1042"/>
        <v>54450</v>
      </c>
      <c r="W121" s="76">
        <f t="shared" si="1042"/>
        <v>54450</v>
      </c>
      <c r="X121" s="76">
        <f t="shared" si="1042"/>
        <v>54450</v>
      </c>
      <c r="Y121" s="76">
        <f t="shared" si="1042"/>
        <v>54450</v>
      </c>
      <c r="Z121" s="165">
        <f t="shared" si="1042"/>
        <v>54450</v>
      </c>
      <c r="AA121" s="42">
        <f t="shared" si="1042"/>
        <v>0</v>
      </c>
      <c r="AB121" s="42">
        <f t="shared" si="1042"/>
        <v>0</v>
      </c>
      <c r="AC121" s="42">
        <f t="shared" si="1042"/>
        <v>0</v>
      </c>
      <c r="AD121" s="42">
        <f t="shared" si="1042"/>
        <v>0</v>
      </c>
      <c r="AE121" s="42">
        <f t="shared" si="1042"/>
        <v>0</v>
      </c>
      <c r="AF121" s="42">
        <f t="shared" si="1042"/>
        <v>0</v>
      </c>
      <c r="AG121" s="42">
        <f t="shared" si="1042"/>
        <v>0</v>
      </c>
      <c r="AH121" s="42">
        <f t="shared" si="1042"/>
        <v>0</v>
      </c>
      <c r="AI121" s="42">
        <f t="shared" si="1042"/>
        <v>0</v>
      </c>
      <c r="AJ121" s="42">
        <f t="shared" si="1042"/>
        <v>0</v>
      </c>
      <c r="AK121" s="42">
        <f t="shared" si="1042"/>
        <v>0</v>
      </c>
      <c r="AL121" s="42">
        <f t="shared" si="1042"/>
        <v>0</v>
      </c>
      <c r="AM121" s="42">
        <f t="shared" si="1042"/>
        <v>0</v>
      </c>
      <c r="AN121" s="42">
        <f t="shared" si="1042"/>
        <v>0</v>
      </c>
      <c r="AO121" s="42">
        <f t="shared" si="1042"/>
        <v>0</v>
      </c>
      <c r="AP121" s="42">
        <f t="shared" si="1042"/>
        <v>0</v>
      </c>
      <c r="AQ121" s="42">
        <f t="shared" si="1042"/>
        <v>0</v>
      </c>
      <c r="AR121" s="42">
        <f t="shared" si="1042"/>
        <v>0</v>
      </c>
      <c r="AS121" s="42">
        <f t="shared" si="1042"/>
        <v>0</v>
      </c>
      <c r="AT121" s="42">
        <f t="shared" si="1042"/>
        <v>0</v>
      </c>
      <c r="AU121" s="42">
        <f t="shared" si="1042"/>
        <v>0</v>
      </c>
      <c r="AV121" s="42">
        <f t="shared" si="1042"/>
        <v>0</v>
      </c>
      <c r="AW121" s="42">
        <f t="shared" si="1042"/>
        <v>0</v>
      </c>
      <c r="AX121" s="42">
        <f t="shared" si="1042"/>
        <v>0</v>
      </c>
      <c r="AY121" s="42">
        <f t="shared" si="1042"/>
        <v>0</v>
      </c>
      <c r="AZ121" s="42">
        <f t="shared" si="1042"/>
        <v>0</v>
      </c>
      <c r="BA121" s="42">
        <f t="shared" si="1042"/>
        <v>0</v>
      </c>
      <c r="BB121" s="42">
        <f t="shared" si="1042"/>
        <v>0</v>
      </c>
      <c r="BC121" s="42">
        <f t="shared" si="1042"/>
        <v>0</v>
      </c>
      <c r="BD121" s="42">
        <f t="shared" si="1042"/>
        <v>0</v>
      </c>
      <c r="BE121" s="42">
        <f t="shared" si="1042"/>
        <v>0</v>
      </c>
      <c r="BF121" s="42">
        <f t="shared" si="1042"/>
        <v>0</v>
      </c>
      <c r="BG121" s="1" t="s">
        <v>7</v>
      </c>
      <c r="BH121" s="164" t="s">
        <v>34</v>
      </c>
      <c r="BI121" s="76">
        <f t="shared" ref="BI121:BV121" si="1043">SUMIF($C$4:$BF$4,BI$5,$C121:$BF121)</f>
        <v>0</v>
      </c>
      <c r="BJ121" s="76">
        <f t="shared" si="1043"/>
        <v>0</v>
      </c>
      <c r="BK121" s="76">
        <f t="shared" si="1043"/>
        <v>108900</v>
      </c>
      <c r="BL121" s="76">
        <f t="shared" si="1043"/>
        <v>217800</v>
      </c>
      <c r="BM121" s="76">
        <f t="shared" si="1043"/>
        <v>217800</v>
      </c>
      <c r="BN121" s="165">
        <f t="shared" si="1043"/>
        <v>217800</v>
      </c>
      <c r="BO121" s="42">
        <f t="shared" si="1043"/>
        <v>0</v>
      </c>
      <c r="BP121" s="42">
        <f t="shared" si="1043"/>
        <v>0</v>
      </c>
      <c r="BQ121" s="42">
        <f t="shared" si="1043"/>
        <v>0</v>
      </c>
      <c r="BR121" s="42">
        <f t="shared" si="1043"/>
        <v>0</v>
      </c>
      <c r="BS121" s="42">
        <f t="shared" si="1043"/>
        <v>0</v>
      </c>
      <c r="BT121" s="42">
        <f t="shared" si="1043"/>
        <v>0</v>
      </c>
      <c r="BU121" s="42">
        <f t="shared" si="1043"/>
        <v>0</v>
      </c>
      <c r="BV121" s="42">
        <f t="shared" si="1043"/>
        <v>0</v>
      </c>
    </row>
    <row r="122" spans="2:74" ht="20.05" customHeight="1" x14ac:dyDescent="0.4">
      <c r="B122" s="166" t="s">
        <v>15</v>
      </c>
      <c r="C122" s="88"/>
      <c r="D122" s="88"/>
      <c r="E122" s="88"/>
      <c r="F122" s="88"/>
      <c r="G122" s="88"/>
      <c r="H122" s="88"/>
      <c r="I122" s="88"/>
      <c r="J122" s="88"/>
      <c r="K122" s="88"/>
      <c r="L122" s="90">
        <f>L110/($L$110+$L$112+$L$114+$L$116)</f>
        <v>2.4816697352985504E-2</v>
      </c>
      <c r="M122" s="58">
        <f>IF(M$121&gt;0,L122,0)</f>
        <v>2.4816697352985504E-2</v>
      </c>
      <c r="N122" s="90">
        <f t="shared" ref="N122:BF122" si="1044">IF(N$121&gt;0,M122,0)</f>
        <v>2.4816697352985504E-2</v>
      </c>
      <c r="O122" s="90">
        <f t="shared" si="1044"/>
        <v>2.4816697352985504E-2</v>
      </c>
      <c r="P122" s="90">
        <f t="shared" si="1044"/>
        <v>2.4816697352985504E-2</v>
      </c>
      <c r="Q122" s="90">
        <f t="shared" si="1044"/>
        <v>2.4816697352985504E-2</v>
      </c>
      <c r="R122" s="90">
        <f t="shared" si="1044"/>
        <v>2.4816697352985504E-2</v>
      </c>
      <c r="S122" s="90">
        <f t="shared" si="1044"/>
        <v>2.4816697352985504E-2</v>
      </c>
      <c r="T122" s="90">
        <f t="shared" si="1044"/>
        <v>2.4816697352985504E-2</v>
      </c>
      <c r="U122" s="90">
        <f t="shared" si="1044"/>
        <v>2.4816697352985504E-2</v>
      </c>
      <c r="V122" s="90">
        <f t="shared" si="1044"/>
        <v>2.4816697352985504E-2</v>
      </c>
      <c r="W122" s="90">
        <f t="shared" si="1044"/>
        <v>2.4816697352985504E-2</v>
      </c>
      <c r="X122" s="90">
        <f t="shared" si="1044"/>
        <v>2.4816697352985504E-2</v>
      </c>
      <c r="Y122" s="90">
        <f t="shared" si="1044"/>
        <v>2.4816697352985504E-2</v>
      </c>
      <c r="Z122" s="219">
        <f t="shared" si="1044"/>
        <v>2.4816697352985504E-2</v>
      </c>
      <c r="AA122" s="36">
        <f t="shared" si="1044"/>
        <v>0</v>
      </c>
      <c r="AB122" s="36">
        <f t="shared" si="1044"/>
        <v>0</v>
      </c>
      <c r="AC122" s="36">
        <f t="shared" si="1044"/>
        <v>0</v>
      </c>
      <c r="AD122" s="36">
        <f t="shared" si="1044"/>
        <v>0</v>
      </c>
      <c r="AE122" s="36">
        <f t="shared" si="1044"/>
        <v>0</v>
      </c>
      <c r="AF122" s="36">
        <f t="shared" si="1044"/>
        <v>0</v>
      </c>
      <c r="AG122" s="36">
        <f t="shared" si="1044"/>
        <v>0</v>
      </c>
      <c r="AH122" s="36">
        <f t="shared" si="1044"/>
        <v>0</v>
      </c>
      <c r="AI122" s="36">
        <f t="shared" si="1044"/>
        <v>0</v>
      </c>
      <c r="AJ122" s="36">
        <f t="shared" si="1044"/>
        <v>0</v>
      </c>
      <c r="AK122" s="36">
        <f t="shared" si="1044"/>
        <v>0</v>
      </c>
      <c r="AL122" s="36">
        <f t="shared" si="1044"/>
        <v>0</v>
      </c>
      <c r="AM122" s="36">
        <f t="shared" si="1044"/>
        <v>0</v>
      </c>
      <c r="AN122" s="36">
        <f t="shared" si="1044"/>
        <v>0</v>
      </c>
      <c r="AO122" s="36">
        <f t="shared" si="1044"/>
        <v>0</v>
      </c>
      <c r="AP122" s="36">
        <f t="shared" si="1044"/>
        <v>0</v>
      </c>
      <c r="AQ122" s="36">
        <f t="shared" si="1044"/>
        <v>0</v>
      </c>
      <c r="AR122" s="36">
        <f t="shared" si="1044"/>
        <v>0</v>
      </c>
      <c r="AS122" s="36">
        <f t="shared" si="1044"/>
        <v>0</v>
      </c>
      <c r="AT122" s="36">
        <f t="shared" si="1044"/>
        <v>0</v>
      </c>
      <c r="AU122" s="36">
        <f t="shared" si="1044"/>
        <v>0</v>
      </c>
      <c r="AV122" s="36">
        <f t="shared" si="1044"/>
        <v>0</v>
      </c>
      <c r="AW122" s="36">
        <f t="shared" si="1044"/>
        <v>0</v>
      </c>
      <c r="AX122" s="36">
        <f t="shared" si="1044"/>
        <v>0</v>
      </c>
      <c r="AY122" s="36">
        <f t="shared" si="1044"/>
        <v>0</v>
      </c>
      <c r="AZ122" s="36">
        <f t="shared" si="1044"/>
        <v>0</v>
      </c>
      <c r="BA122" s="36">
        <f t="shared" si="1044"/>
        <v>0</v>
      </c>
      <c r="BB122" s="36">
        <f t="shared" si="1044"/>
        <v>0</v>
      </c>
      <c r="BC122" s="36">
        <f t="shared" si="1044"/>
        <v>0</v>
      </c>
      <c r="BD122" s="36">
        <f t="shared" si="1044"/>
        <v>0</v>
      </c>
      <c r="BE122" s="36">
        <f t="shared" si="1044"/>
        <v>0</v>
      </c>
      <c r="BF122" s="36">
        <f t="shared" si="1044"/>
        <v>0</v>
      </c>
      <c r="BG122" s="1" t="s">
        <v>7</v>
      </c>
      <c r="BH122" s="166" t="s">
        <v>15</v>
      </c>
      <c r="BI122" s="92">
        <f t="shared" ref="BI122:BV125" si="1045">SUMIF($C$37:$BF$37,BI$5,$C122:$BF122)</f>
        <v>0</v>
      </c>
      <c r="BJ122" s="92">
        <f t="shared" si="1045"/>
        <v>0</v>
      </c>
      <c r="BK122" s="92">
        <f t="shared" si="1045"/>
        <v>2.4816697352985504E-2</v>
      </c>
      <c r="BL122" s="92">
        <f t="shared" si="1045"/>
        <v>2.4816697352985504E-2</v>
      </c>
      <c r="BM122" s="92">
        <f t="shared" si="1045"/>
        <v>2.4816697352985504E-2</v>
      </c>
      <c r="BN122" s="167">
        <f t="shared" si="1045"/>
        <v>2.4816697352985504E-2</v>
      </c>
      <c r="BO122" s="36">
        <f t="shared" si="1045"/>
        <v>0</v>
      </c>
      <c r="BP122" s="36">
        <f t="shared" si="1045"/>
        <v>0</v>
      </c>
      <c r="BQ122" s="36">
        <f t="shared" si="1045"/>
        <v>0</v>
      </c>
      <c r="BR122" s="36">
        <f t="shared" si="1045"/>
        <v>0</v>
      </c>
      <c r="BS122" s="36">
        <f t="shared" si="1045"/>
        <v>0</v>
      </c>
      <c r="BT122" s="36">
        <f t="shared" si="1045"/>
        <v>0</v>
      </c>
      <c r="BU122" s="36">
        <f t="shared" si="1045"/>
        <v>0</v>
      </c>
      <c r="BV122" s="36">
        <f t="shared" si="1045"/>
        <v>0</v>
      </c>
    </row>
    <row r="123" spans="2:74" ht="19.850000000000001" customHeight="1" x14ac:dyDescent="0.4">
      <c r="B123" s="166" t="s">
        <v>35</v>
      </c>
      <c r="C123" s="88"/>
      <c r="D123" s="88"/>
      <c r="E123" s="88"/>
      <c r="F123" s="88"/>
      <c r="G123" s="88"/>
      <c r="H123" s="88"/>
      <c r="I123" s="88"/>
      <c r="J123" s="88"/>
      <c r="K123" s="88"/>
      <c r="L123" s="90">
        <f>L112/($L$110+$L$112+$L$114+$L$116)</f>
        <v>0.62576822295806711</v>
      </c>
      <c r="M123" s="58">
        <f t="shared" ref="M123:M125" si="1046">IF(M$121&gt;0,L123,0)</f>
        <v>0.62576822295806711</v>
      </c>
      <c r="N123" s="90">
        <f t="shared" ref="N123:BF123" si="1047">IF(N$121&gt;0,M123,0)</f>
        <v>0.62576822295806711</v>
      </c>
      <c r="O123" s="90">
        <f t="shared" si="1047"/>
        <v>0.62576822295806711</v>
      </c>
      <c r="P123" s="90">
        <f t="shared" si="1047"/>
        <v>0.62576822295806711</v>
      </c>
      <c r="Q123" s="90">
        <f t="shared" si="1047"/>
        <v>0.62576822295806711</v>
      </c>
      <c r="R123" s="90">
        <f t="shared" si="1047"/>
        <v>0.62576822295806711</v>
      </c>
      <c r="S123" s="90">
        <f t="shared" si="1047"/>
        <v>0.62576822295806711</v>
      </c>
      <c r="T123" s="90">
        <f t="shared" si="1047"/>
        <v>0.62576822295806711</v>
      </c>
      <c r="U123" s="90">
        <f t="shared" si="1047"/>
        <v>0.62576822295806711</v>
      </c>
      <c r="V123" s="90">
        <f t="shared" si="1047"/>
        <v>0.62576822295806711</v>
      </c>
      <c r="W123" s="90">
        <f t="shared" si="1047"/>
        <v>0.62576822295806711</v>
      </c>
      <c r="X123" s="90">
        <f t="shared" si="1047"/>
        <v>0.62576822295806711</v>
      </c>
      <c r="Y123" s="90">
        <f t="shared" si="1047"/>
        <v>0.62576822295806711</v>
      </c>
      <c r="Z123" s="219">
        <f t="shared" si="1047"/>
        <v>0.62576822295806711</v>
      </c>
      <c r="AA123" s="36">
        <f t="shared" si="1047"/>
        <v>0</v>
      </c>
      <c r="AB123" s="36">
        <f t="shared" si="1047"/>
        <v>0</v>
      </c>
      <c r="AC123" s="36">
        <f t="shared" si="1047"/>
        <v>0</v>
      </c>
      <c r="AD123" s="36">
        <f t="shared" si="1047"/>
        <v>0</v>
      </c>
      <c r="AE123" s="36">
        <f t="shared" si="1047"/>
        <v>0</v>
      </c>
      <c r="AF123" s="36">
        <f t="shared" si="1047"/>
        <v>0</v>
      </c>
      <c r="AG123" s="36">
        <f t="shared" si="1047"/>
        <v>0</v>
      </c>
      <c r="AH123" s="36">
        <f t="shared" si="1047"/>
        <v>0</v>
      </c>
      <c r="AI123" s="36">
        <f t="shared" si="1047"/>
        <v>0</v>
      </c>
      <c r="AJ123" s="36">
        <f t="shared" si="1047"/>
        <v>0</v>
      </c>
      <c r="AK123" s="36">
        <f t="shared" si="1047"/>
        <v>0</v>
      </c>
      <c r="AL123" s="36">
        <f t="shared" si="1047"/>
        <v>0</v>
      </c>
      <c r="AM123" s="36">
        <f t="shared" si="1047"/>
        <v>0</v>
      </c>
      <c r="AN123" s="36">
        <f t="shared" si="1047"/>
        <v>0</v>
      </c>
      <c r="AO123" s="36">
        <f t="shared" si="1047"/>
        <v>0</v>
      </c>
      <c r="AP123" s="36">
        <f t="shared" si="1047"/>
        <v>0</v>
      </c>
      <c r="AQ123" s="36">
        <f t="shared" si="1047"/>
        <v>0</v>
      </c>
      <c r="AR123" s="36">
        <f t="shared" si="1047"/>
        <v>0</v>
      </c>
      <c r="AS123" s="36">
        <f t="shared" si="1047"/>
        <v>0</v>
      </c>
      <c r="AT123" s="36">
        <f t="shared" si="1047"/>
        <v>0</v>
      </c>
      <c r="AU123" s="36">
        <f t="shared" si="1047"/>
        <v>0</v>
      </c>
      <c r="AV123" s="36">
        <f t="shared" si="1047"/>
        <v>0</v>
      </c>
      <c r="AW123" s="36">
        <f t="shared" si="1047"/>
        <v>0</v>
      </c>
      <c r="AX123" s="36">
        <f t="shared" si="1047"/>
        <v>0</v>
      </c>
      <c r="AY123" s="36">
        <f t="shared" si="1047"/>
        <v>0</v>
      </c>
      <c r="AZ123" s="36">
        <f t="shared" si="1047"/>
        <v>0</v>
      </c>
      <c r="BA123" s="36">
        <f t="shared" si="1047"/>
        <v>0</v>
      </c>
      <c r="BB123" s="36">
        <f t="shared" si="1047"/>
        <v>0</v>
      </c>
      <c r="BC123" s="36">
        <f t="shared" si="1047"/>
        <v>0</v>
      </c>
      <c r="BD123" s="36">
        <f t="shared" si="1047"/>
        <v>0</v>
      </c>
      <c r="BE123" s="36">
        <f t="shared" si="1047"/>
        <v>0</v>
      </c>
      <c r="BF123" s="36">
        <f t="shared" si="1047"/>
        <v>0</v>
      </c>
      <c r="BG123" s="1" t="s">
        <v>7</v>
      </c>
      <c r="BH123" s="166" t="s">
        <v>35</v>
      </c>
      <c r="BI123" s="92">
        <f t="shared" si="1045"/>
        <v>0</v>
      </c>
      <c r="BJ123" s="92">
        <f t="shared" si="1045"/>
        <v>0</v>
      </c>
      <c r="BK123" s="92">
        <f t="shared" si="1045"/>
        <v>0.62576822295806711</v>
      </c>
      <c r="BL123" s="92">
        <f t="shared" si="1045"/>
        <v>0.62576822295806711</v>
      </c>
      <c r="BM123" s="92">
        <f t="shared" si="1045"/>
        <v>0.62576822295806711</v>
      </c>
      <c r="BN123" s="167">
        <f t="shared" si="1045"/>
        <v>0.62576822295806711</v>
      </c>
      <c r="BO123" s="36">
        <f t="shared" si="1045"/>
        <v>0</v>
      </c>
      <c r="BP123" s="36">
        <f t="shared" si="1045"/>
        <v>0</v>
      </c>
      <c r="BQ123" s="36">
        <f t="shared" si="1045"/>
        <v>0</v>
      </c>
      <c r="BR123" s="36">
        <f t="shared" si="1045"/>
        <v>0</v>
      </c>
      <c r="BS123" s="36">
        <f t="shared" si="1045"/>
        <v>0</v>
      </c>
      <c r="BT123" s="36">
        <f t="shared" si="1045"/>
        <v>0</v>
      </c>
      <c r="BU123" s="36">
        <f t="shared" si="1045"/>
        <v>0</v>
      </c>
      <c r="BV123" s="36">
        <f t="shared" si="1045"/>
        <v>0</v>
      </c>
    </row>
    <row r="124" spans="2:74" ht="20.05" customHeight="1" x14ac:dyDescent="0.4">
      <c r="B124" s="166" t="s">
        <v>36</v>
      </c>
      <c r="C124" s="88"/>
      <c r="D124" s="88"/>
      <c r="E124" s="88"/>
      <c r="F124" s="88"/>
      <c r="G124" s="88"/>
      <c r="H124" s="88"/>
      <c r="I124" s="88"/>
      <c r="J124" s="88"/>
      <c r="K124" s="88"/>
      <c r="L124" s="90">
        <f>L114/($L$110+$L$112+$L$114+$L$116)</f>
        <v>0.17814928446085357</v>
      </c>
      <c r="M124" s="58">
        <f t="shared" si="1046"/>
        <v>0.17814928446085357</v>
      </c>
      <c r="N124" s="90">
        <f t="shared" ref="N124:BF124" si="1048">IF(N$121&gt;0,M124,0)</f>
        <v>0.17814928446085357</v>
      </c>
      <c r="O124" s="90">
        <f t="shared" si="1048"/>
        <v>0.17814928446085357</v>
      </c>
      <c r="P124" s="90">
        <f t="shared" si="1048"/>
        <v>0.17814928446085357</v>
      </c>
      <c r="Q124" s="90">
        <f t="shared" si="1048"/>
        <v>0.17814928446085357</v>
      </c>
      <c r="R124" s="90">
        <f t="shared" si="1048"/>
        <v>0.17814928446085357</v>
      </c>
      <c r="S124" s="90">
        <f t="shared" si="1048"/>
        <v>0.17814928446085357</v>
      </c>
      <c r="T124" s="90">
        <f t="shared" si="1048"/>
        <v>0.17814928446085357</v>
      </c>
      <c r="U124" s="90">
        <f t="shared" si="1048"/>
        <v>0.17814928446085357</v>
      </c>
      <c r="V124" s="90">
        <f t="shared" si="1048"/>
        <v>0.17814928446085357</v>
      </c>
      <c r="W124" s="90">
        <f t="shared" si="1048"/>
        <v>0.17814928446085357</v>
      </c>
      <c r="X124" s="90">
        <f t="shared" si="1048"/>
        <v>0.17814928446085357</v>
      </c>
      <c r="Y124" s="90">
        <f t="shared" si="1048"/>
        <v>0.17814928446085357</v>
      </c>
      <c r="Z124" s="219">
        <f t="shared" si="1048"/>
        <v>0.17814928446085357</v>
      </c>
      <c r="AA124" s="36">
        <f t="shared" si="1048"/>
        <v>0</v>
      </c>
      <c r="AB124" s="36">
        <f t="shared" si="1048"/>
        <v>0</v>
      </c>
      <c r="AC124" s="36">
        <f t="shared" si="1048"/>
        <v>0</v>
      </c>
      <c r="AD124" s="36">
        <f t="shared" si="1048"/>
        <v>0</v>
      </c>
      <c r="AE124" s="36">
        <f t="shared" si="1048"/>
        <v>0</v>
      </c>
      <c r="AF124" s="36">
        <f t="shared" si="1048"/>
        <v>0</v>
      </c>
      <c r="AG124" s="36">
        <f t="shared" si="1048"/>
        <v>0</v>
      </c>
      <c r="AH124" s="36">
        <f t="shared" si="1048"/>
        <v>0</v>
      </c>
      <c r="AI124" s="36">
        <f t="shared" si="1048"/>
        <v>0</v>
      </c>
      <c r="AJ124" s="36">
        <f t="shared" si="1048"/>
        <v>0</v>
      </c>
      <c r="AK124" s="36">
        <f t="shared" si="1048"/>
        <v>0</v>
      </c>
      <c r="AL124" s="36">
        <f t="shared" si="1048"/>
        <v>0</v>
      </c>
      <c r="AM124" s="36">
        <f t="shared" si="1048"/>
        <v>0</v>
      </c>
      <c r="AN124" s="36">
        <f t="shared" si="1048"/>
        <v>0</v>
      </c>
      <c r="AO124" s="36">
        <f t="shared" si="1048"/>
        <v>0</v>
      </c>
      <c r="AP124" s="36">
        <f t="shared" si="1048"/>
        <v>0</v>
      </c>
      <c r="AQ124" s="36">
        <f t="shared" si="1048"/>
        <v>0</v>
      </c>
      <c r="AR124" s="36">
        <f t="shared" si="1048"/>
        <v>0</v>
      </c>
      <c r="AS124" s="36">
        <f t="shared" si="1048"/>
        <v>0</v>
      </c>
      <c r="AT124" s="36">
        <f t="shared" si="1048"/>
        <v>0</v>
      </c>
      <c r="AU124" s="36">
        <f t="shared" si="1048"/>
        <v>0</v>
      </c>
      <c r="AV124" s="36">
        <f t="shared" si="1048"/>
        <v>0</v>
      </c>
      <c r="AW124" s="36">
        <f t="shared" si="1048"/>
        <v>0</v>
      </c>
      <c r="AX124" s="36">
        <f t="shared" si="1048"/>
        <v>0</v>
      </c>
      <c r="AY124" s="36">
        <f t="shared" si="1048"/>
        <v>0</v>
      </c>
      <c r="AZ124" s="36">
        <f t="shared" si="1048"/>
        <v>0</v>
      </c>
      <c r="BA124" s="36">
        <f t="shared" si="1048"/>
        <v>0</v>
      </c>
      <c r="BB124" s="36">
        <f t="shared" si="1048"/>
        <v>0</v>
      </c>
      <c r="BC124" s="36">
        <f t="shared" si="1048"/>
        <v>0</v>
      </c>
      <c r="BD124" s="36">
        <f t="shared" si="1048"/>
        <v>0</v>
      </c>
      <c r="BE124" s="36">
        <f t="shared" si="1048"/>
        <v>0</v>
      </c>
      <c r="BF124" s="36">
        <f t="shared" si="1048"/>
        <v>0</v>
      </c>
      <c r="BG124" s="1" t="s">
        <v>7</v>
      </c>
      <c r="BH124" s="166" t="s">
        <v>36</v>
      </c>
      <c r="BI124" s="92">
        <f t="shared" si="1045"/>
        <v>0</v>
      </c>
      <c r="BJ124" s="92">
        <f t="shared" si="1045"/>
        <v>0</v>
      </c>
      <c r="BK124" s="92">
        <f t="shared" si="1045"/>
        <v>0.17814928446085357</v>
      </c>
      <c r="BL124" s="92">
        <f t="shared" si="1045"/>
        <v>0.17814928446085357</v>
      </c>
      <c r="BM124" s="92">
        <f t="shared" si="1045"/>
        <v>0.17814928446085357</v>
      </c>
      <c r="BN124" s="167">
        <f t="shared" si="1045"/>
        <v>0.17814928446085357</v>
      </c>
      <c r="BO124" s="36">
        <f t="shared" si="1045"/>
        <v>0</v>
      </c>
      <c r="BP124" s="36">
        <f t="shared" si="1045"/>
        <v>0</v>
      </c>
      <c r="BQ124" s="36">
        <f t="shared" si="1045"/>
        <v>0</v>
      </c>
      <c r="BR124" s="36">
        <f t="shared" si="1045"/>
        <v>0</v>
      </c>
      <c r="BS124" s="36">
        <f t="shared" si="1045"/>
        <v>0</v>
      </c>
      <c r="BT124" s="36">
        <f t="shared" si="1045"/>
        <v>0</v>
      </c>
      <c r="BU124" s="36">
        <f t="shared" si="1045"/>
        <v>0</v>
      </c>
      <c r="BV124" s="36">
        <f t="shared" si="1045"/>
        <v>0</v>
      </c>
    </row>
    <row r="125" spans="2:74" ht="20.05" customHeight="1" x14ac:dyDescent="0.4">
      <c r="B125" s="168" t="s">
        <v>37</v>
      </c>
      <c r="C125" s="169"/>
      <c r="D125" s="169"/>
      <c r="E125" s="169"/>
      <c r="F125" s="169"/>
      <c r="G125" s="169"/>
      <c r="H125" s="169"/>
      <c r="I125" s="169"/>
      <c r="J125" s="169"/>
      <c r="K125" s="169"/>
      <c r="L125" s="170">
        <f>L116/($L$110+$L$112+$L$114+$L$116)</f>
        <v>0.17126579522809379</v>
      </c>
      <c r="M125" s="220">
        <f t="shared" si="1046"/>
        <v>0.17126579522809379</v>
      </c>
      <c r="N125" s="170">
        <f t="shared" ref="N125:BF125" si="1049">IF(N$121&gt;0,M125,0)</f>
        <v>0.17126579522809379</v>
      </c>
      <c r="O125" s="170">
        <f t="shared" si="1049"/>
        <v>0.17126579522809379</v>
      </c>
      <c r="P125" s="170">
        <f t="shared" si="1049"/>
        <v>0.17126579522809379</v>
      </c>
      <c r="Q125" s="170">
        <f t="shared" si="1049"/>
        <v>0.17126579522809379</v>
      </c>
      <c r="R125" s="170">
        <f t="shared" si="1049"/>
        <v>0.17126579522809379</v>
      </c>
      <c r="S125" s="170">
        <f t="shared" si="1049"/>
        <v>0.17126579522809379</v>
      </c>
      <c r="T125" s="170">
        <f t="shared" si="1049"/>
        <v>0.17126579522809379</v>
      </c>
      <c r="U125" s="170">
        <f t="shared" si="1049"/>
        <v>0.17126579522809379</v>
      </c>
      <c r="V125" s="170">
        <f t="shared" si="1049"/>
        <v>0.17126579522809379</v>
      </c>
      <c r="W125" s="170">
        <f t="shared" si="1049"/>
        <v>0.17126579522809379</v>
      </c>
      <c r="X125" s="170">
        <f t="shared" si="1049"/>
        <v>0.17126579522809379</v>
      </c>
      <c r="Y125" s="170">
        <f t="shared" si="1049"/>
        <v>0.17126579522809379</v>
      </c>
      <c r="Z125" s="221">
        <f t="shared" si="1049"/>
        <v>0.17126579522809379</v>
      </c>
      <c r="AA125" s="36">
        <f t="shared" si="1049"/>
        <v>0</v>
      </c>
      <c r="AB125" s="36">
        <f t="shared" si="1049"/>
        <v>0</v>
      </c>
      <c r="AC125" s="36">
        <f t="shared" si="1049"/>
        <v>0</v>
      </c>
      <c r="AD125" s="36">
        <f t="shared" si="1049"/>
        <v>0</v>
      </c>
      <c r="AE125" s="36">
        <f t="shared" si="1049"/>
        <v>0</v>
      </c>
      <c r="AF125" s="36">
        <f t="shared" si="1049"/>
        <v>0</v>
      </c>
      <c r="AG125" s="36">
        <f t="shared" si="1049"/>
        <v>0</v>
      </c>
      <c r="AH125" s="36">
        <f t="shared" si="1049"/>
        <v>0</v>
      </c>
      <c r="AI125" s="36">
        <f t="shared" si="1049"/>
        <v>0</v>
      </c>
      <c r="AJ125" s="36">
        <f t="shared" si="1049"/>
        <v>0</v>
      </c>
      <c r="AK125" s="36">
        <f t="shared" si="1049"/>
        <v>0</v>
      </c>
      <c r="AL125" s="36">
        <f t="shared" si="1049"/>
        <v>0</v>
      </c>
      <c r="AM125" s="36">
        <f t="shared" si="1049"/>
        <v>0</v>
      </c>
      <c r="AN125" s="36">
        <f t="shared" si="1049"/>
        <v>0</v>
      </c>
      <c r="AO125" s="36">
        <f t="shared" si="1049"/>
        <v>0</v>
      </c>
      <c r="AP125" s="36">
        <f t="shared" si="1049"/>
        <v>0</v>
      </c>
      <c r="AQ125" s="36">
        <f t="shared" si="1049"/>
        <v>0</v>
      </c>
      <c r="AR125" s="36">
        <f t="shared" si="1049"/>
        <v>0</v>
      </c>
      <c r="AS125" s="36">
        <f t="shared" si="1049"/>
        <v>0</v>
      </c>
      <c r="AT125" s="36">
        <f t="shared" si="1049"/>
        <v>0</v>
      </c>
      <c r="AU125" s="36">
        <f t="shared" si="1049"/>
        <v>0</v>
      </c>
      <c r="AV125" s="36">
        <f t="shared" si="1049"/>
        <v>0</v>
      </c>
      <c r="AW125" s="36">
        <f t="shared" si="1049"/>
        <v>0</v>
      </c>
      <c r="AX125" s="36">
        <f t="shared" si="1049"/>
        <v>0</v>
      </c>
      <c r="AY125" s="36">
        <f t="shared" si="1049"/>
        <v>0</v>
      </c>
      <c r="AZ125" s="36">
        <f t="shared" si="1049"/>
        <v>0</v>
      </c>
      <c r="BA125" s="36">
        <f t="shared" si="1049"/>
        <v>0</v>
      </c>
      <c r="BB125" s="36">
        <f t="shared" si="1049"/>
        <v>0</v>
      </c>
      <c r="BC125" s="36">
        <f t="shared" si="1049"/>
        <v>0</v>
      </c>
      <c r="BD125" s="36">
        <f t="shared" si="1049"/>
        <v>0</v>
      </c>
      <c r="BE125" s="36">
        <f t="shared" si="1049"/>
        <v>0</v>
      </c>
      <c r="BF125" s="36">
        <f t="shared" si="1049"/>
        <v>0</v>
      </c>
      <c r="BG125" s="1" t="s">
        <v>7</v>
      </c>
      <c r="BH125" s="168" t="s">
        <v>37</v>
      </c>
      <c r="BI125" s="171">
        <f t="shared" si="1045"/>
        <v>0</v>
      </c>
      <c r="BJ125" s="171">
        <f t="shared" si="1045"/>
        <v>0</v>
      </c>
      <c r="BK125" s="171">
        <f t="shared" si="1045"/>
        <v>0.17126579522809379</v>
      </c>
      <c r="BL125" s="171">
        <f t="shared" si="1045"/>
        <v>0.17126579522809379</v>
      </c>
      <c r="BM125" s="171">
        <f t="shared" si="1045"/>
        <v>0.17126579522809379</v>
      </c>
      <c r="BN125" s="172">
        <f t="shared" si="1045"/>
        <v>0.17126579522809379</v>
      </c>
      <c r="BO125" s="36">
        <f t="shared" si="1045"/>
        <v>0</v>
      </c>
      <c r="BP125" s="36">
        <f t="shared" si="1045"/>
        <v>0</v>
      </c>
      <c r="BQ125" s="36">
        <f t="shared" si="1045"/>
        <v>0</v>
      </c>
      <c r="BR125" s="36">
        <f t="shared" si="1045"/>
        <v>0</v>
      </c>
      <c r="BS125" s="36">
        <f t="shared" si="1045"/>
        <v>0</v>
      </c>
      <c r="BT125" s="36">
        <f t="shared" si="1045"/>
        <v>0</v>
      </c>
      <c r="BU125" s="36">
        <f t="shared" si="1045"/>
        <v>0</v>
      </c>
      <c r="BV125" s="36">
        <f t="shared" si="1045"/>
        <v>0</v>
      </c>
    </row>
    <row r="126" spans="2:74" ht="20.05" customHeight="1" x14ac:dyDescent="0.4">
      <c r="B126" s="23"/>
      <c r="C126" s="2"/>
      <c r="D126" s="2"/>
      <c r="E126" s="2"/>
      <c r="F126" s="2"/>
      <c r="G126" s="2"/>
      <c r="H126" s="2"/>
      <c r="I126" s="2"/>
      <c r="J126" s="2"/>
      <c r="K126" s="2"/>
      <c r="L126" s="27"/>
      <c r="M126" s="62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1" t="s">
        <v>7</v>
      </c>
      <c r="BH126" s="23"/>
    </row>
    <row r="127" spans="2:74" ht="20.05" customHeight="1" x14ac:dyDescent="0.4">
      <c r="B127" s="33" t="s">
        <v>54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46"/>
      <c r="M127" s="91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1" t="s">
        <v>7</v>
      </c>
      <c r="BH127" s="33" t="s">
        <v>54</v>
      </c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</row>
    <row r="128" spans="2:74" ht="20.05" customHeight="1" x14ac:dyDescent="0.4">
      <c r="B128" s="93" t="s">
        <v>15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46"/>
      <c r="M128" s="75">
        <f>M110+M121*M122</f>
        <v>1373.8924708700606</v>
      </c>
      <c r="N128" s="76">
        <f t="shared" ref="N128:BF128" si="1050">N110+N121*N122</f>
        <v>1372.5901708700605</v>
      </c>
      <c r="O128" s="76">
        <f t="shared" si="1050"/>
        <v>1374.5735708700606</v>
      </c>
      <c r="P128" s="76">
        <f t="shared" si="1050"/>
        <v>1380.5127208700605</v>
      </c>
      <c r="Q128" s="76">
        <f t="shared" si="1050"/>
        <v>1385.6020708700607</v>
      </c>
      <c r="R128" s="76">
        <f t="shared" si="1050"/>
        <v>1382.2554208700606</v>
      </c>
      <c r="S128" s="76">
        <f t="shared" si="1050"/>
        <v>1386.0661308700605</v>
      </c>
      <c r="T128" s="76">
        <f t="shared" si="1050"/>
        <v>1394.0024108700607</v>
      </c>
      <c r="U128" s="76">
        <f t="shared" si="1050"/>
        <v>1400.3974708700607</v>
      </c>
      <c r="V128" s="76">
        <f t="shared" si="1050"/>
        <v>1393.4717308700606</v>
      </c>
      <c r="W128" s="76">
        <f t="shared" si="1050"/>
        <v>1399.8413758700606</v>
      </c>
      <c r="X128" s="76">
        <f t="shared" si="1050"/>
        <v>1409.7707458700606</v>
      </c>
      <c r="Y128" s="76">
        <f t="shared" si="1050"/>
        <v>1417.3813708700607</v>
      </c>
      <c r="Z128" s="76">
        <f t="shared" si="1050"/>
        <v>1405.8363258700606</v>
      </c>
      <c r="AA128" s="76">
        <f t="shared" si="1050"/>
        <v>64.162559999999985</v>
      </c>
      <c r="AB128" s="76">
        <f t="shared" si="1050"/>
        <v>76.037119999999987</v>
      </c>
      <c r="AC128" s="76">
        <f t="shared" si="1050"/>
        <v>84.792639999999992</v>
      </c>
      <c r="AD128" s="76">
        <f t="shared" si="1050"/>
        <v>67.657699999999991</v>
      </c>
      <c r="AE128" s="76">
        <f t="shared" si="1050"/>
        <v>80.739654999999985</v>
      </c>
      <c r="AF128" s="76">
        <f t="shared" si="1050"/>
        <v>94.450644999999994</v>
      </c>
      <c r="AG128" s="76">
        <f t="shared" si="1050"/>
        <v>104.24648999999998</v>
      </c>
      <c r="AH128" s="76">
        <f t="shared" si="1050"/>
        <v>80.732504999999989</v>
      </c>
      <c r="AI128" s="76">
        <f t="shared" si="1050"/>
        <v>97.208549999999988</v>
      </c>
      <c r="AJ128" s="76">
        <f t="shared" si="1050"/>
        <v>112.72859999999999</v>
      </c>
      <c r="AK128" s="76">
        <f t="shared" si="1050"/>
        <v>123.56549999999996</v>
      </c>
      <c r="AL128" s="76">
        <f t="shared" si="1050"/>
        <v>93.197199999999981</v>
      </c>
      <c r="AM128" s="76">
        <f t="shared" si="1050"/>
        <v>117.17160000000003</v>
      </c>
      <c r="AN128" s="76">
        <f t="shared" si="1050"/>
        <v>135.034875</v>
      </c>
      <c r="AO128" s="76">
        <f t="shared" si="1050"/>
        <v>147.27705000000003</v>
      </c>
      <c r="AP128" s="76">
        <f t="shared" si="1050"/>
        <v>110.23454999999998</v>
      </c>
      <c r="AQ128" s="76">
        <f t="shared" si="1050"/>
        <v>137.49262500000003</v>
      </c>
      <c r="AR128" s="76">
        <f t="shared" si="1050"/>
        <v>157.76257500000003</v>
      </c>
      <c r="AS128" s="76">
        <f t="shared" si="1050"/>
        <v>171.42817500000004</v>
      </c>
      <c r="AT128" s="76">
        <f t="shared" si="1050"/>
        <v>127.58434999999999</v>
      </c>
      <c r="AU128" s="76">
        <f t="shared" si="1050"/>
        <v>157.86232500000003</v>
      </c>
      <c r="AV128" s="76">
        <f t="shared" si="1050"/>
        <v>180.66112500000003</v>
      </c>
      <c r="AW128" s="76">
        <f t="shared" si="1050"/>
        <v>195.81727500000005</v>
      </c>
      <c r="AX128" s="76">
        <f t="shared" si="1050"/>
        <v>145.15134999999998</v>
      </c>
      <c r="AY128" s="76">
        <f t="shared" si="1050"/>
        <v>178.34212500000004</v>
      </c>
      <c r="AZ128" s="76">
        <f t="shared" si="1050"/>
        <v>203.76517500000006</v>
      </c>
      <c r="BA128" s="76">
        <f t="shared" si="1050"/>
        <v>220.44157500000006</v>
      </c>
      <c r="BB128" s="76">
        <f t="shared" si="1050"/>
        <v>162.90854999999996</v>
      </c>
      <c r="BC128" s="76">
        <f t="shared" si="1050"/>
        <v>193.24627500000003</v>
      </c>
      <c r="BD128" s="76">
        <f t="shared" si="1050"/>
        <v>221.37097500000004</v>
      </c>
      <c r="BE128" s="76">
        <f t="shared" si="1050"/>
        <v>239.54782500000005</v>
      </c>
      <c r="BF128" s="76">
        <f t="shared" si="1050"/>
        <v>176.98744999999997</v>
      </c>
      <c r="BG128" s="1" t="s">
        <v>7</v>
      </c>
      <c r="BH128" s="93" t="s">
        <v>15</v>
      </c>
      <c r="BI128" s="185">
        <f t="shared" ref="BI128:BV132" si="1051">SUMIF($C$4:$BF$4,BI$5,$C128:$BF128)</f>
        <v>0</v>
      </c>
      <c r="BJ128" s="185">
        <f t="shared" si="1051"/>
        <v>0</v>
      </c>
      <c r="BK128" s="185">
        <f t="shared" si="1051"/>
        <v>2746.4826417401209</v>
      </c>
      <c r="BL128" s="185">
        <f t="shared" si="1051"/>
        <v>5522.943783480242</v>
      </c>
      <c r="BM128" s="185">
        <f t="shared" si="1051"/>
        <v>5573.9377434802427</v>
      </c>
      <c r="BN128" s="185">
        <f t="shared" si="1051"/>
        <v>5632.8298184802425</v>
      </c>
      <c r="BO128" s="185">
        <f t="shared" si="1051"/>
        <v>292.65001999999993</v>
      </c>
      <c r="BP128" s="185">
        <f t="shared" si="1051"/>
        <v>360.16929499999998</v>
      </c>
      <c r="BQ128" s="185">
        <f t="shared" si="1051"/>
        <v>426.69984999999986</v>
      </c>
      <c r="BR128" s="185">
        <f t="shared" si="1051"/>
        <v>509.718075</v>
      </c>
      <c r="BS128" s="185">
        <f t="shared" si="1051"/>
        <v>594.26772500000004</v>
      </c>
      <c r="BT128" s="185">
        <f t="shared" si="1051"/>
        <v>679.492075</v>
      </c>
      <c r="BU128" s="185">
        <f t="shared" si="1051"/>
        <v>765.45742500000017</v>
      </c>
      <c r="BV128" s="185">
        <f t="shared" si="1051"/>
        <v>831.15252500000008</v>
      </c>
    </row>
    <row r="129" spans="2:74" ht="20.05" customHeight="1" x14ac:dyDescent="0.4">
      <c r="B129" s="93" t="s">
        <v>55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46"/>
      <c r="M129" s="75">
        <f>M112+M121*M123</f>
        <v>35000.635040066751</v>
      </c>
      <c r="N129" s="76">
        <f t="shared" ref="N129:BF129" si="1052">N112+N121*N123</f>
        <v>34947.240740066751</v>
      </c>
      <c r="O129" s="76">
        <f t="shared" si="1052"/>
        <v>34973.961260066753</v>
      </c>
      <c r="P129" s="76">
        <f t="shared" si="1052"/>
        <v>35203.551830066754</v>
      </c>
      <c r="Q129" s="76">
        <f t="shared" si="1052"/>
        <v>35400.291560066747</v>
      </c>
      <c r="R129" s="76">
        <f t="shared" si="1052"/>
        <v>35292.698540066747</v>
      </c>
      <c r="S129" s="76">
        <f t="shared" si="1052"/>
        <v>35373.871980066753</v>
      </c>
      <c r="T129" s="76">
        <f t="shared" si="1052"/>
        <v>35670.548800066754</v>
      </c>
      <c r="U129" s="76">
        <f t="shared" si="1052"/>
        <v>35909.611190066753</v>
      </c>
      <c r="V129" s="76">
        <f t="shared" si="1052"/>
        <v>35731.288660066748</v>
      </c>
      <c r="W129" s="76">
        <f t="shared" si="1052"/>
        <v>35883.498290066753</v>
      </c>
      <c r="X129" s="76">
        <f t="shared" si="1052"/>
        <v>36253.592990066754</v>
      </c>
      <c r="Y129" s="76">
        <f t="shared" si="1052"/>
        <v>36537.261740066751</v>
      </c>
      <c r="Z129" s="76">
        <f t="shared" si="1052"/>
        <v>36213.061210066749</v>
      </c>
      <c r="AA129" s="76">
        <f t="shared" si="1052"/>
        <v>2384.0401200000001</v>
      </c>
      <c r="AB129" s="76">
        <f t="shared" si="1052"/>
        <v>2825.2542399999998</v>
      </c>
      <c r="AC129" s="76">
        <f t="shared" si="1052"/>
        <v>3150.5765299999998</v>
      </c>
      <c r="AD129" s="76">
        <f t="shared" si="1052"/>
        <v>2647.87635</v>
      </c>
      <c r="AE129" s="76">
        <f t="shared" si="1052"/>
        <v>2989.97174</v>
      </c>
      <c r="AF129" s="76">
        <f t="shared" si="1052"/>
        <v>3497.7206599999995</v>
      </c>
      <c r="AG129" s="76">
        <f t="shared" si="1052"/>
        <v>3860.4829199999999</v>
      </c>
      <c r="AH129" s="76">
        <f t="shared" si="1052"/>
        <v>3152.4121</v>
      </c>
      <c r="AI129" s="76">
        <f t="shared" si="1052"/>
        <v>3586.9954949999997</v>
      </c>
      <c r="AJ129" s="76">
        <f t="shared" si="1052"/>
        <v>4159.68534</v>
      </c>
      <c r="AK129" s="76">
        <f t="shared" si="1052"/>
        <v>4559.5669499999995</v>
      </c>
      <c r="AL129" s="76">
        <f t="shared" si="1052"/>
        <v>3725.55807</v>
      </c>
      <c r="AM129" s="76">
        <f t="shared" si="1052"/>
        <v>4243.5647799999997</v>
      </c>
      <c r="AN129" s="76">
        <f t="shared" si="1052"/>
        <v>4890.513056249999</v>
      </c>
      <c r="AO129" s="76">
        <f t="shared" si="1052"/>
        <v>5333.8838274999998</v>
      </c>
      <c r="AP129" s="76">
        <f t="shared" si="1052"/>
        <v>4293.6357225000002</v>
      </c>
      <c r="AQ129" s="76">
        <f t="shared" si="1052"/>
        <v>4885.5712749999993</v>
      </c>
      <c r="AR129" s="76">
        <f t="shared" si="1052"/>
        <v>5605.8301649999994</v>
      </c>
      <c r="AS129" s="76">
        <f t="shared" si="1052"/>
        <v>6091.4144849999993</v>
      </c>
      <c r="AT129" s="76">
        <f t="shared" si="1052"/>
        <v>4838.6364737499998</v>
      </c>
      <c r="AU129" s="76">
        <f t="shared" si="1052"/>
        <v>5501.5020262499993</v>
      </c>
      <c r="AV129" s="76">
        <f t="shared" si="1052"/>
        <v>6296.0402062499998</v>
      </c>
      <c r="AW129" s="76">
        <f t="shared" si="1052"/>
        <v>6824.2320337500005</v>
      </c>
      <c r="AX129" s="76">
        <f t="shared" si="1052"/>
        <v>5356.0848149999993</v>
      </c>
      <c r="AY129" s="76">
        <f t="shared" si="1052"/>
        <v>6093.3559374999995</v>
      </c>
      <c r="AZ129" s="76">
        <f t="shared" si="1052"/>
        <v>6961.9768125000001</v>
      </c>
      <c r="BA129" s="76">
        <f t="shared" si="1052"/>
        <v>7531.7538124999983</v>
      </c>
      <c r="BB129" s="76">
        <f t="shared" si="1052"/>
        <v>5844.3442312499992</v>
      </c>
      <c r="BC129" s="76">
        <f t="shared" si="1052"/>
        <v>6470.5294412499989</v>
      </c>
      <c r="BD129" s="76">
        <f t="shared" si="1052"/>
        <v>7412.238146249998</v>
      </c>
      <c r="BE129" s="76">
        <f t="shared" si="1052"/>
        <v>8020.8596737499993</v>
      </c>
      <c r="BF129" s="76">
        <f t="shared" si="1052"/>
        <v>6168.0126324999992</v>
      </c>
      <c r="BG129" s="1" t="s">
        <v>7</v>
      </c>
      <c r="BH129" s="93" t="s">
        <v>55</v>
      </c>
      <c r="BI129" s="185">
        <f t="shared" si="1051"/>
        <v>0</v>
      </c>
      <c r="BJ129" s="185">
        <f t="shared" si="1051"/>
        <v>0</v>
      </c>
      <c r="BK129" s="185">
        <f t="shared" si="1051"/>
        <v>69947.875780133501</v>
      </c>
      <c r="BL129" s="185">
        <f t="shared" si="1051"/>
        <v>140870.50319026702</v>
      </c>
      <c r="BM129" s="185">
        <f t="shared" si="1051"/>
        <v>142685.32063026703</v>
      </c>
      <c r="BN129" s="185">
        <f t="shared" si="1051"/>
        <v>144887.41423026699</v>
      </c>
      <c r="BO129" s="185">
        <f t="shared" si="1051"/>
        <v>11007.747240000001</v>
      </c>
      <c r="BP129" s="185">
        <f t="shared" si="1051"/>
        <v>13500.58742</v>
      </c>
      <c r="BQ129" s="185">
        <f t="shared" si="1051"/>
        <v>16031.805854999999</v>
      </c>
      <c r="BR129" s="185">
        <f t="shared" si="1051"/>
        <v>18761.59738625</v>
      </c>
      <c r="BS129" s="185">
        <f t="shared" si="1051"/>
        <v>21421.452398749996</v>
      </c>
      <c r="BT129" s="185">
        <f t="shared" si="1051"/>
        <v>23977.859081250001</v>
      </c>
      <c r="BU129" s="185">
        <f t="shared" si="1051"/>
        <v>26431.430793749998</v>
      </c>
      <c r="BV129" s="185">
        <f t="shared" si="1051"/>
        <v>28071.639893749994</v>
      </c>
    </row>
    <row r="130" spans="2:74" ht="20.05" customHeight="1" x14ac:dyDescent="0.4">
      <c r="B130" s="93" t="s">
        <v>56</v>
      </c>
      <c r="C130" s="30"/>
      <c r="D130" s="30"/>
      <c r="E130" s="30"/>
      <c r="F130" s="30"/>
      <c r="G130" s="30"/>
      <c r="H130" s="30"/>
      <c r="I130" s="30"/>
      <c r="J130" s="30"/>
      <c r="K130" s="30"/>
      <c r="L130" s="46"/>
      <c r="M130" s="75">
        <f>M114+M121*M124</f>
        <v>9756.7867888934761</v>
      </c>
      <c r="N130" s="76">
        <f t="shared" ref="N130:BF130" si="1053">N114+N121*N124</f>
        <v>9764.1915388934758</v>
      </c>
      <c r="O130" s="76">
        <f t="shared" si="1053"/>
        <v>9758.4895388934765</v>
      </c>
      <c r="P130" s="76">
        <f t="shared" si="1053"/>
        <v>9773.337413893476</v>
      </c>
      <c r="Q130" s="76">
        <f t="shared" si="1053"/>
        <v>9786.0607888934755</v>
      </c>
      <c r="R130" s="76">
        <f t="shared" si="1053"/>
        <v>9793.1872888934759</v>
      </c>
      <c r="S130" s="76">
        <f t="shared" si="1053"/>
        <v>9785.9416388934769</v>
      </c>
      <c r="T130" s="76">
        <f t="shared" si="1053"/>
        <v>9805.4905638934761</v>
      </c>
      <c r="U130" s="76">
        <f t="shared" si="1053"/>
        <v>9821.2431013934765</v>
      </c>
      <c r="V130" s="76">
        <f t="shared" si="1053"/>
        <v>9825.5173888934769</v>
      </c>
      <c r="W130" s="76">
        <f t="shared" si="1053"/>
        <v>9817.9793388934759</v>
      </c>
      <c r="X130" s="76">
        <f t="shared" si="1053"/>
        <v>9842.0505388934762</v>
      </c>
      <c r="Y130" s="76">
        <f t="shared" si="1053"/>
        <v>9860.5005388934769</v>
      </c>
      <c r="Z130" s="76">
        <f t="shared" si="1053"/>
        <v>9860.3712763934764</v>
      </c>
      <c r="AA130" s="76">
        <f t="shared" si="1053"/>
        <v>155.3937</v>
      </c>
      <c r="AB130" s="76">
        <f t="shared" si="1053"/>
        <v>184.15239999999997</v>
      </c>
      <c r="AC130" s="76">
        <f t="shared" si="1053"/>
        <v>205.35717499999996</v>
      </c>
      <c r="AD130" s="76">
        <f t="shared" si="1053"/>
        <v>199.89774999999997</v>
      </c>
      <c r="AE130" s="76">
        <f t="shared" si="1053"/>
        <v>195.33787499999997</v>
      </c>
      <c r="AF130" s="76">
        <f t="shared" si="1053"/>
        <v>228.50962499999994</v>
      </c>
      <c r="AG130" s="76">
        <f t="shared" si="1053"/>
        <v>252.20924999999994</v>
      </c>
      <c r="AH130" s="76">
        <f t="shared" si="1053"/>
        <v>240.27531249999996</v>
      </c>
      <c r="AI130" s="76">
        <f t="shared" si="1053"/>
        <v>238.97101874999993</v>
      </c>
      <c r="AJ130" s="76">
        <f t="shared" si="1053"/>
        <v>277.1244749999999</v>
      </c>
      <c r="AK130" s="76">
        <f t="shared" si="1053"/>
        <v>303.76518749999991</v>
      </c>
      <c r="AL130" s="76">
        <f t="shared" si="1053"/>
        <v>285.41642499999995</v>
      </c>
      <c r="AM130" s="76">
        <f t="shared" si="1053"/>
        <v>283.16469999999998</v>
      </c>
      <c r="AN130" s="76">
        <f t="shared" si="1053"/>
        <v>326.33428124999983</v>
      </c>
      <c r="AO130" s="76">
        <f t="shared" si="1053"/>
        <v>355.91953749999993</v>
      </c>
      <c r="AP130" s="76">
        <f t="shared" si="1053"/>
        <v>330.70364999999993</v>
      </c>
      <c r="AQ130" s="76">
        <f t="shared" si="1053"/>
        <v>326.5449843749999</v>
      </c>
      <c r="AR130" s="76">
        <f t="shared" si="1053"/>
        <v>374.6861156249999</v>
      </c>
      <c r="AS130" s="76">
        <f t="shared" si="1053"/>
        <v>407.14191562499991</v>
      </c>
      <c r="AT130" s="76">
        <f t="shared" si="1053"/>
        <v>374.77902812499991</v>
      </c>
      <c r="AU130" s="76">
        <f t="shared" si="1053"/>
        <v>368.34542499999986</v>
      </c>
      <c r="AV130" s="76">
        <f t="shared" si="1053"/>
        <v>421.54262499999987</v>
      </c>
      <c r="AW130" s="76">
        <f t="shared" si="1053"/>
        <v>456.90697499999993</v>
      </c>
      <c r="AX130" s="76">
        <f t="shared" si="1053"/>
        <v>417.31013124999987</v>
      </c>
      <c r="AY130" s="76">
        <f t="shared" si="1053"/>
        <v>408.7007031249999</v>
      </c>
      <c r="AZ130" s="76">
        <f t="shared" si="1053"/>
        <v>466.96185937499996</v>
      </c>
      <c r="BA130" s="76">
        <f t="shared" si="1053"/>
        <v>505.17860937499984</v>
      </c>
      <c r="BB130" s="76">
        <f t="shared" si="1053"/>
        <v>458.18029687499984</v>
      </c>
      <c r="BC130" s="76">
        <f t="shared" si="1053"/>
        <v>434.80411874999987</v>
      </c>
      <c r="BD130" s="76">
        <f t="shared" si="1053"/>
        <v>498.08469374999981</v>
      </c>
      <c r="BE130" s="76">
        <f t="shared" si="1053"/>
        <v>538.98260624999989</v>
      </c>
      <c r="BF130" s="76">
        <f t="shared" si="1053"/>
        <v>486.71548749999982</v>
      </c>
      <c r="BG130" s="1" t="s">
        <v>7</v>
      </c>
      <c r="BH130" s="93" t="s">
        <v>56</v>
      </c>
      <c r="BI130" s="185">
        <f t="shared" si="1051"/>
        <v>0</v>
      </c>
      <c r="BJ130" s="185">
        <f t="shared" si="1051"/>
        <v>0</v>
      </c>
      <c r="BK130" s="185">
        <f t="shared" si="1051"/>
        <v>19520.97832778695</v>
      </c>
      <c r="BL130" s="185">
        <f t="shared" si="1051"/>
        <v>39111.075030573906</v>
      </c>
      <c r="BM130" s="185">
        <f t="shared" si="1051"/>
        <v>39238.192693073906</v>
      </c>
      <c r="BN130" s="185">
        <f t="shared" si="1051"/>
        <v>39380.901693073909</v>
      </c>
      <c r="BO130" s="185">
        <f t="shared" si="1051"/>
        <v>744.80102499999987</v>
      </c>
      <c r="BP130" s="185">
        <f t="shared" si="1051"/>
        <v>916.33206249999978</v>
      </c>
      <c r="BQ130" s="185">
        <f t="shared" si="1051"/>
        <v>1105.2771062499996</v>
      </c>
      <c r="BR130" s="185">
        <f t="shared" si="1051"/>
        <v>1296.1221687499997</v>
      </c>
      <c r="BS130" s="185">
        <f t="shared" si="1051"/>
        <v>1483.1520437499996</v>
      </c>
      <c r="BT130" s="185">
        <f t="shared" si="1051"/>
        <v>1664.1051562499995</v>
      </c>
      <c r="BU130" s="185">
        <f t="shared" si="1051"/>
        <v>1839.0214687499997</v>
      </c>
      <c r="BV130" s="185">
        <f t="shared" si="1051"/>
        <v>1958.5869062499994</v>
      </c>
    </row>
    <row r="131" spans="2:74" ht="20.05" customHeight="1" x14ac:dyDescent="0.4">
      <c r="B131" s="93" t="s">
        <v>31</v>
      </c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75">
        <f>M116+M121*M125</f>
        <v>9357.7415501697069</v>
      </c>
      <c r="N131" s="76">
        <f t="shared" ref="N131:BF131" si="1054">N116+N121*N125</f>
        <v>9363.8003501697076</v>
      </c>
      <c r="O131" s="76">
        <f t="shared" si="1054"/>
        <v>9362.043750169707</v>
      </c>
      <c r="P131" s="76">
        <f t="shared" si="1054"/>
        <v>9367.1990501697073</v>
      </c>
      <c r="Q131" s="76">
        <f t="shared" si="1054"/>
        <v>9374.4695501697079</v>
      </c>
      <c r="R131" s="76">
        <f t="shared" si="1054"/>
        <v>9381.197800169708</v>
      </c>
      <c r="S131" s="76">
        <f t="shared" si="1054"/>
        <v>9380.6883101697076</v>
      </c>
      <c r="T131" s="76">
        <f t="shared" si="1054"/>
        <v>9387.0086901697068</v>
      </c>
      <c r="U131" s="76">
        <f t="shared" si="1054"/>
        <v>9396.2251001697077</v>
      </c>
      <c r="V131" s="76">
        <f t="shared" si="1054"/>
        <v>9402.7939101697066</v>
      </c>
      <c r="W131" s="76">
        <f t="shared" si="1054"/>
        <v>9403.4324551697082</v>
      </c>
      <c r="X131" s="76">
        <f t="shared" si="1054"/>
        <v>9410.5157501697067</v>
      </c>
      <c r="Y131" s="76">
        <f t="shared" si="1054"/>
        <v>9421.5857501697083</v>
      </c>
      <c r="Z131" s="76">
        <f t="shared" si="1054"/>
        <v>9427.4394051697072</v>
      </c>
      <c r="AA131" s="76">
        <f t="shared" si="1054"/>
        <v>104.26415999999999</v>
      </c>
      <c r="AB131" s="76">
        <f t="shared" si="1054"/>
        <v>111.67952000000001</v>
      </c>
      <c r="AC131" s="76">
        <f t="shared" si="1054"/>
        <v>124.53919</v>
      </c>
      <c r="AD131" s="76">
        <f t="shared" si="1054"/>
        <v>129.16469999999998</v>
      </c>
      <c r="AE131" s="76">
        <f t="shared" si="1054"/>
        <v>132.82975500000001</v>
      </c>
      <c r="AF131" s="76">
        <f t="shared" si="1054"/>
        <v>140.15257</v>
      </c>
      <c r="AG131" s="76">
        <f t="shared" si="1054"/>
        <v>154.68834000000001</v>
      </c>
      <c r="AH131" s="76">
        <f t="shared" si="1054"/>
        <v>157.62060499999998</v>
      </c>
      <c r="AI131" s="76">
        <f t="shared" si="1054"/>
        <v>162.01425</v>
      </c>
      <c r="AJ131" s="76">
        <f t="shared" si="1054"/>
        <v>169.09289999999999</v>
      </c>
      <c r="AK131" s="76">
        <f t="shared" si="1054"/>
        <v>185.34824999999998</v>
      </c>
      <c r="AL131" s="76">
        <f t="shared" si="1054"/>
        <v>186.39439999999996</v>
      </c>
      <c r="AM131" s="76">
        <f t="shared" si="1054"/>
        <v>191.38028</v>
      </c>
      <c r="AN131" s="76">
        <f t="shared" si="1054"/>
        <v>198.05114999999995</v>
      </c>
      <c r="AO131" s="76">
        <f t="shared" si="1054"/>
        <v>216.00633999999999</v>
      </c>
      <c r="AP131" s="76">
        <f t="shared" si="1054"/>
        <v>214.95737249999996</v>
      </c>
      <c r="AQ131" s="76">
        <f t="shared" si="1054"/>
        <v>219.98819999999998</v>
      </c>
      <c r="AR131" s="76">
        <f t="shared" si="1054"/>
        <v>226.12635749999998</v>
      </c>
      <c r="AS131" s="76">
        <f t="shared" si="1054"/>
        <v>245.71371749999997</v>
      </c>
      <c r="AT131" s="76">
        <f t="shared" si="1054"/>
        <v>242.41026499999995</v>
      </c>
      <c r="AU131" s="76">
        <f t="shared" si="1054"/>
        <v>247.31764249999998</v>
      </c>
      <c r="AV131" s="76">
        <f t="shared" si="1054"/>
        <v>252.92557499999998</v>
      </c>
      <c r="AW131" s="76">
        <f t="shared" si="1054"/>
        <v>274.14418499999999</v>
      </c>
      <c r="AX131" s="76">
        <f t="shared" si="1054"/>
        <v>268.52999749999992</v>
      </c>
      <c r="AY131" s="76">
        <f t="shared" si="1054"/>
        <v>273.45792499999993</v>
      </c>
      <c r="AZ131" s="76">
        <f t="shared" si="1054"/>
        <v>278.47907250000003</v>
      </c>
      <c r="BA131" s="76">
        <f t="shared" si="1054"/>
        <v>301.27015249999999</v>
      </c>
      <c r="BB131" s="76">
        <f t="shared" si="1054"/>
        <v>293.23538999999988</v>
      </c>
      <c r="BC131" s="76">
        <f t="shared" si="1054"/>
        <v>289.8694124999999</v>
      </c>
      <c r="BD131" s="76">
        <f t="shared" si="1054"/>
        <v>295.16129999999993</v>
      </c>
      <c r="BE131" s="76">
        <f t="shared" si="1054"/>
        <v>319.39709999999997</v>
      </c>
      <c r="BF131" s="76">
        <f t="shared" si="1054"/>
        <v>309.72803749999991</v>
      </c>
      <c r="BG131" s="1" t="s">
        <v>7</v>
      </c>
      <c r="BH131" s="93" t="s">
        <v>31</v>
      </c>
      <c r="BI131" s="185">
        <f t="shared" si="1051"/>
        <v>0</v>
      </c>
      <c r="BJ131" s="185">
        <f t="shared" si="1051"/>
        <v>0</v>
      </c>
      <c r="BK131" s="185">
        <f t="shared" si="1051"/>
        <v>18721.541900339413</v>
      </c>
      <c r="BL131" s="185">
        <f t="shared" si="1051"/>
        <v>37484.910150678828</v>
      </c>
      <c r="BM131" s="185">
        <f t="shared" si="1051"/>
        <v>37566.716010678829</v>
      </c>
      <c r="BN131" s="185">
        <f t="shared" si="1051"/>
        <v>37662.973360678836</v>
      </c>
      <c r="BO131" s="185">
        <f t="shared" si="1051"/>
        <v>469.64756999999997</v>
      </c>
      <c r="BP131" s="185">
        <f t="shared" si="1051"/>
        <v>585.29126999999994</v>
      </c>
      <c r="BQ131" s="185">
        <f t="shared" si="1051"/>
        <v>702.84979999999996</v>
      </c>
      <c r="BR131" s="185">
        <f t="shared" si="1051"/>
        <v>820.39514250000002</v>
      </c>
      <c r="BS131" s="185">
        <f t="shared" si="1051"/>
        <v>934.23853999999983</v>
      </c>
      <c r="BT131" s="185">
        <f t="shared" si="1051"/>
        <v>1042.9173999999998</v>
      </c>
      <c r="BU131" s="185">
        <f t="shared" si="1051"/>
        <v>1146.4425399999998</v>
      </c>
      <c r="BV131" s="185">
        <f t="shared" si="1051"/>
        <v>1214.1558499999996</v>
      </c>
    </row>
    <row r="132" spans="2:74" ht="20.05" customHeight="1" x14ac:dyDescent="0.4">
      <c r="B132" s="30" t="s">
        <v>23</v>
      </c>
      <c r="C132" s="42">
        <v>7575</v>
      </c>
      <c r="D132" s="42">
        <v>7294</v>
      </c>
      <c r="E132" s="42">
        <v>7273</v>
      </c>
      <c r="F132" s="42">
        <v>6662</v>
      </c>
      <c r="G132" s="42">
        <v>4834</v>
      </c>
      <c r="H132" s="42">
        <v>3959</v>
      </c>
      <c r="I132" s="42">
        <v>3888</v>
      </c>
      <c r="J132" s="42">
        <v>2178</v>
      </c>
      <c r="K132" s="42">
        <v>694</v>
      </c>
      <c r="L132" s="42">
        <v>1134599</v>
      </c>
      <c r="M132" s="75">
        <f>M110+M112+M114+M116+M121</f>
        <v>55489.055849999997</v>
      </c>
      <c r="N132" s="42">
        <f t="shared" ref="N132:BF132" si="1055">N110+N112+N114+N116+N121</f>
        <v>55447.822800000002</v>
      </c>
      <c r="O132" s="42">
        <f t="shared" si="1055"/>
        <v>55469.068120000004</v>
      </c>
      <c r="P132" s="42">
        <f t="shared" si="1055"/>
        <v>55724.601015</v>
      </c>
      <c r="Q132" s="42">
        <f t="shared" si="1055"/>
        <v>55946.423970000003</v>
      </c>
      <c r="R132" s="42">
        <f t="shared" si="1055"/>
        <v>55849.339050000002</v>
      </c>
      <c r="S132" s="42">
        <f t="shared" si="1055"/>
        <v>55926.568059999998</v>
      </c>
      <c r="T132" s="42">
        <f t="shared" si="1055"/>
        <v>56257.050465</v>
      </c>
      <c r="U132" s="42">
        <f t="shared" si="1055"/>
        <v>56527.4768625</v>
      </c>
      <c r="V132" s="42">
        <f t="shared" si="1055"/>
        <v>56353.071689999997</v>
      </c>
      <c r="W132" s="42">
        <f t="shared" si="1055"/>
        <v>56504.751459999999</v>
      </c>
      <c r="X132" s="42">
        <f t="shared" si="1055"/>
        <v>56915.930025000001</v>
      </c>
      <c r="Y132" s="42">
        <f t="shared" si="1055"/>
        <v>57236.729399999997</v>
      </c>
      <c r="Z132" s="42">
        <f t="shared" si="1055"/>
        <v>56906.708217500003</v>
      </c>
      <c r="AA132" s="42">
        <f t="shared" si="1055"/>
        <v>2707.8605400000006</v>
      </c>
      <c r="AB132" s="42">
        <f t="shared" si="1055"/>
        <v>3197.1232799999998</v>
      </c>
      <c r="AC132" s="42">
        <f t="shared" si="1055"/>
        <v>3565.265535</v>
      </c>
      <c r="AD132" s="42">
        <f t="shared" si="1055"/>
        <v>3044.5965000000001</v>
      </c>
      <c r="AE132" s="42">
        <f t="shared" si="1055"/>
        <v>3398.8790250000002</v>
      </c>
      <c r="AF132" s="42">
        <f t="shared" si="1055"/>
        <v>3960.8334999999997</v>
      </c>
      <c r="AG132" s="42">
        <f t="shared" si="1055"/>
        <v>4371.6269999999995</v>
      </c>
      <c r="AH132" s="42">
        <f t="shared" si="1055"/>
        <v>3631.0405225</v>
      </c>
      <c r="AI132" s="42">
        <f t="shared" si="1055"/>
        <v>4085.1893137499997</v>
      </c>
      <c r="AJ132" s="42">
        <f t="shared" si="1055"/>
        <v>4718.6313149999996</v>
      </c>
      <c r="AK132" s="42">
        <f t="shared" si="1055"/>
        <v>5172.2458874999993</v>
      </c>
      <c r="AL132" s="42">
        <f t="shared" si="1055"/>
        <v>4290.5660950000001</v>
      </c>
      <c r="AM132" s="42">
        <f t="shared" si="1055"/>
        <v>4835.2813599999999</v>
      </c>
      <c r="AN132" s="42">
        <f t="shared" si="1055"/>
        <v>5549.933362499999</v>
      </c>
      <c r="AO132" s="42">
        <f t="shared" si="1055"/>
        <v>6053.0867549999994</v>
      </c>
      <c r="AP132" s="42">
        <f t="shared" si="1055"/>
        <v>4949.5312949999998</v>
      </c>
      <c r="AQ132" s="42">
        <f t="shared" si="1055"/>
        <v>5569.5970843749992</v>
      </c>
      <c r="AR132" s="42">
        <f t="shared" si="1055"/>
        <v>6364.4052131249991</v>
      </c>
      <c r="AS132" s="42">
        <f t="shared" si="1055"/>
        <v>6915.6982931249995</v>
      </c>
      <c r="AT132" s="42">
        <f t="shared" si="1055"/>
        <v>5583.4101168749994</v>
      </c>
      <c r="AU132" s="42">
        <f t="shared" si="1055"/>
        <v>6275.027418749999</v>
      </c>
      <c r="AV132" s="42">
        <f t="shared" si="1055"/>
        <v>7151.1695312499996</v>
      </c>
      <c r="AW132" s="42">
        <f t="shared" si="1055"/>
        <v>7751.1004687500008</v>
      </c>
      <c r="AX132" s="42">
        <f t="shared" si="1055"/>
        <v>6187.0762937499994</v>
      </c>
      <c r="AY132" s="42">
        <f t="shared" si="1055"/>
        <v>6953.8566906249989</v>
      </c>
      <c r="AZ132" s="42">
        <f t="shared" si="1055"/>
        <v>7911.1829193750009</v>
      </c>
      <c r="BA132" s="42">
        <f t="shared" si="1055"/>
        <v>8558.6441493749971</v>
      </c>
      <c r="BB132" s="42">
        <f t="shared" si="1055"/>
        <v>6758.668468124999</v>
      </c>
      <c r="BC132" s="42">
        <f t="shared" si="1055"/>
        <v>7388.4492474999997</v>
      </c>
      <c r="BD132" s="42">
        <f t="shared" si="1055"/>
        <v>8426.8551149999985</v>
      </c>
      <c r="BE132" s="42">
        <f t="shared" si="1055"/>
        <v>9118.7872049999987</v>
      </c>
      <c r="BF132" s="42">
        <f t="shared" si="1055"/>
        <v>7141.4436074999985</v>
      </c>
      <c r="BG132" s="1" t="s">
        <v>7</v>
      </c>
      <c r="BH132" s="30" t="s">
        <v>23</v>
      </c>
      <c r="BI132" s="185">
        <f t="shared" si="1051"/>
        <v>28804</v>
      </c>
      <c r="BJ132" s="185">
        <f t="shared" si="1051"/>
        <v>14859</v>
      </c>
      <c r="BK132" s="185">
        <f t="shared" si="1051"/>
        <v>1246229.8786499999</v>
      </c>
      <c r="BL132" s="185">
        <f t="shared" si="1051"/>
        <v>222989.43215500002</v>
      </c>
      <c r="BM132" s="185">
        <f t="shared" si="1051"/>
        <v>225064.16707750002</v>
      </c>
      <c r="BN132" s="185">
        <f t="shared" si="1051"/>
        <v>227564.11910250003</v>
      </c>
      <c r="BO132" s="185">
        <f t="shared" si="1051"/>
        <v>12514.845855</v>
      </c>
      <c r="BP132" s="185">
        <f t="shared" si="1051"/>
        <v>15362.380047499999</v>
      </c>
      <c r="BQ132" s="185">
        <f t="shared" si="1051"/>
        <v>18266.632611249999</v>
      </c>
      <c r="BR132" s="185">
        <f t="shared" si="1051"/>
        <v>21387.832772499998</v>
      </c>
      <c r="BS132" s="185">
        <f t="shared" si="1051"/>
        <v>24433.110707499996</v>
      </c>
      <c r="BT132" s="185">
        <f t="shared" si="1051"/>
        <v>27364.373712500001</v>
      </c>
      <c r="BU132" s="185">
        <f t="shared" si="1051"/>
        <v>30182.352227499992</v>
      </c>
      <c r="BV132" s="185">
        <f t="shared" si="1051"/>
        <v>32075.535174999997</v>
      </c>
    </row>
    <row r="133" spans="2:74" ht="20.05" customHeight="1" x14ac:dyDescent="0.4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71"/>
    </row>
    <row r="134" spans="2:74" ht="20.05" customHeight="1" x14ac:dyDescent="0.4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71"/>
    </row>
    <row r="135" spans="2:74" ht="20.05" customHeight="1" x14ac:dyDescent="0.4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71"/>
    </row>
    <row r="136" spans="2:74" ht="20.05" customHeight="1" x14ac:dyDescent="0.4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71"/>
    </row>
    <row r="137" spans="2:74" ht="20.05" customHeight="1" x14ac:dyDescent="0.4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71"/>
    </row>
    <row r="138" spans="2:74" ht="20.05" customHeight="1" x14ac:dyDescent="0.4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71"/>
    </row>
    <row r="139" spans="2:74" ht="20.05" customHeight="1" x14ac:dyDescent="0.4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71"/>
    </row>
    <row r="140" spans="2:74" ht="20.05" customHeight="1" x14ac:dyDescent="0.4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71"/>
    </row>
    <row r="141" spans="2:74" ht="20.05" customHeight="1" x14ac:dyDescent="0.4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71"/>
    </row>
    <row r="142" spans="2:74" ht="20.05" customHeight="1" x14ac:dyDescent="0.4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71"/>
    </row>
    <row r="143" spans="2:74" ht="20.05" customHeight="1" x14ac:dyDescent="0.4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71"/>
    </row>
    <row r="144" spans="2:74" ht="20.05" customHeight="1" x14ac:dyDescent="0.4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71"/>
    </row>
    <row r="145" spans="3:13" ht="20.05" customHeight="1" x14ac:dyDescent="0.4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71"/>
    </row>
    <row r="146" spans="3:13" ht="20.05" customHeight="1" x14ac:dyDescent="0.4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71"/>
    </row>
    <row r="147" spans="3:13" ht="20.05" customHeight="1" x14ac:dyDescent="0.4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71"/>
    </row>
    <row r="148" spans="3:13" ht="20.05" customHeight="1" x14ac:dyDescent="0.4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71"/>
    </row>
    <row r="149" spans="3:13" ht="20.05" customHeight="1" x14ac:dyDescent="0.4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71"/>
    </row>
    <row r="150" spans="3:13" ht="20.05" customHeight="1" x14ac:dyDescent="0.4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71"/>
    </row>
    <row r="151" spans="3:13" ht="20.05" customHeight="1" x14ac:dyDescent="0.4">
      <c r="M151" s="71"/>
    </row>
    <row r="152" spans="3:13" ht="20.05" customHeight="1" x14ac:dyDescent="0.4">
      <c r="M152" s="71"/>
    </row>
    <row r="153" spans="3:13" ht="20.05" customHeight="1" x14ac:dyDescent="0.4">
      <c r="M153" s="71"/>
    </row>
    <row r="154" spans="3:13" ht="20.05" customHeight="1" x14ac:dyDescent="0.4">
      <c r="M154" s="71"/>
    </row>
    <row r="155" spans="3:13" ht="20.05" customHeight="1" x14ac:dyDescent="0.4">
      <c r="M155" s="71"/>
    </row>
    <row r="156" spans="3:13" ht="20.05" customHeight="1" x14ac:dyDescent="0.4">
      <c r="M156" s="71"/>
    </row>
    <row r="157" spans="3:13" ht="20.05" customHeight="1" x14ac:dyDescent="0.4">
      <c r="M157" s="71"/>
    </row>
    <row r="158" spans="3:13" ht="20.05" customHeight="1" x14ac:dyDescent="0.4">
      <c r="M158" s="71"/>
    </row>
    <row r="159" spans="3:13" ht="20.05" customHeight="1" x14ac:dyDescent="0.4">
      <c r="M159" s="71"/>
    </row>
    <row r="160" spans="3:13" ht="20.05" customHeight="1" x14ac:dyDescent="0.4">
      <c r="M160" s="71"/>
    </row>
    <row r="161" spans="13:13" ht="20.05" customHeight="1" x14ac:dyDescent="0.4">
      <c r="M161" s="71"/>
    </row>
    <row r="162" spans="13:13" ht="20.05" customHeight="1" x14ac:dyDescent="0.4">
      <c r="M162" s="71"/>
    </row>
    <row r="163" spans="13:13" ht="20.05" customHeight="1" x14ac:dyDescent="0.4">
      <c r="M163" s="71"/>
    </row>
    <row r="164" spans="13:13" ht="20.05" customHeight="1" x14ac:dyDescent="0.4">
      <c r="M164" s="71"/>
    </row>
    <row r="165" spans="13:13" ht="20.05" customHeight="1" x14ac:dyDescent="0.4">
      <c r="M165" s="71"/>
    </row>
    <row r="166" spans="13:13" ht="20.05" customHeight="1" x14ac:dyDescent="0.4">
      <c r="M166" s="71"/>
    </row>
    <row r="167" spans="13:13" ht="20.05" customHeight="1" x14ac:dyDescent="0.4">
      <c r="M167" s="71"/>
    </row>
    <row r="168" spans="13:13" ht="20.05" customHeight="1" x14ac:dyDescent="0.4">
      <c r="M168" s="71"/>
    </row>
    <row r="169" spans="13:13" ht="20.05" customHeight="1" x14ac:dyDescent="0.4">
      <c r="M169" s="71"/>
    </row>
    <row r="170" spans="13:13" ht="20.05" customHeight="1" x14ac:dyDescent="0.4">
      <c r="M170" s="71"/>
    </row>
    <row r="171" spans="13:13" ht="20.05" customHeight="1" x14ac:dyDescent="0.4">
      <c r="M171" s="71"/>
    </row>
    <row r="172" spans="13:13" ht="20.05" customHeight="1" x14ac:dyDescent="0.4">
      <c r="M172" s="71"/>
    </row>
    <row r="173" spans="13:13" ht="20.05" customHeight="1" x14ac:dyDescent="0.4">
      <c r="M173" s="71"/>
    </row>
    <row r="174" spans="13:13" ht="20.05" customHeight="1" x14ac:dyDescent="0.4">
      <c r="M174" s="71"/>
    </row>
    <row r="175" spans="13:13" ht="20.05" customHeight="1" x14ac:dyDescent="0.4">
      <c r="M175" s="71"/>
    </row>
    <row r="176" spans="13:13" ht="20.05" customHeight="1" x14ac:dyDescent="0.4">
      <c r="M176" s="71"/>
    </row>
    <row r="177" spans="13:13" ht="20.05" customHeight="1" x14ac:dyDescent="0.4">
      <c r="M177" s="71"/>
    </row>
    <row r="178" spans="13:13" ht="20.05" customHeight="1" x14ac:dyDescent="0.4">
      <c r="M178" s="71"/>
    </row>
    <row r="179" spans="13:13" ht="20.05" customHeight="1" x14ac:dyDescent="0.4">
      <c r="M179" s="71"/>
    </row>
    <row r="180" spans="13:13" ht="20.05" customHeight="1" x14ac:dyDescent="0.4">
      <c r="M180" s="71"/>
    </row>
    <row r="181" spans="13:13" ht="20.05" customHeight="1" x14ac:dyDescent="0.4">
      <c r="M181" s="71"/>
    </row>
    <row r="182" spans="13:13" ht="20.05" customHeight="1" x14ac:dyDescent="0.4">
      <c r="M182" s="71"/>
    </row>
    <row r="183" spans="13:13" ht="20.05" customHeight="1" x14ac:dyDescent="0.4">
      <c r="M183" s="71"/>
    </row>
    <row r="184" spans="13:13" ht="20.05" customHeight="1" x14ac:dyDescent="0.4">
      <c r="M184" s="71"/>
    </row>
    <row r="185" spans="13:13" ht="20.05" customHeight="1" x14ac:dyDescent="0.4">
      <c r="M185" s="71"/>
    </row>
    <row r="186" spans="13:13" ht="20.05" customHeight="1" x14ac:dyDescent="0.4">
      <c r="M186" s="71"/>
    </row>
    <row r="187" spans="13:13" ht="20.05" customHeight="1" x14ac:dyDescent="0.4">
      <c r="M187" s="71"/>
    </row>
    <row r="188" spans="13:13" ht="20.05" customHeight="1" x14ac:dyDescent="0.4">
      <c r="M188" s="71"/>
    </row>
    <row r="189" spans="13:13" ht="20.05" customHeight="1" x14ac:dyDescent="0.4">
      <c r="M189" s="71"/>
    </row>
    <row r="190" spans="13:13" ht="20.05" customHeight="1" x14ac:dyDescent="0.4">
      <c r="M190" s="71"/>
    </row>
    <row r="191" spans="13:13" ht="20.05" customHeight="1" x14ac:dyDescent="0.4">
      <c r="M191" s="71"/>
    </row>
    <row r="192" spans="13:13" ht="20.05" customHeight="1" x14ac:dyDescent="0.4">
      <c r="M192" s="71"/>
    </row>
    <row r="193" spans="13:13" ht="20.05" customHeight="1" x14ac:dyDescent="0.4">
      <c r="M193" s="71"/>
    </row>
    <row r="194" spans="13:13" ht="20.05" customHeight="1" x14ac:dyDescent="0.4">
      <c r="M194" s="71"/>
    </row>
    <row r="195" spans="13:13" ht="20.05" customHeight="1" x14ac:dyDescent="0.4">
      <c r="M195" s="71"/>
    </row>
    <row r="196" spans="13:13" ht="20.05" customHeight="1" x14ac:dyDescent="0.4">
      <c r="M196" s="71"/>
    </row>
    <row r="197" spans="13:13" ht="20.05" customHeight="1" x14ac:dyDescent="0.4">
      <c r="M197" s="71"/>
    </row>
    <row r="198" spans="13:13" ht="20.05" customHeight="1" x14ac:dyDescent="0.4">
      <c r="M198" s="71"/>
    </row>
    <row r="199" spans="13:13" ht="20.05" customHeight="1" x14ac:dyDescent="0.4">
      <c r="M199" s="71"/>
    </row>
    <row r="200" spans="13:13" ht="20.05" customHeight="1" x14ac:dyDescent="0.4">
      <c r="M200" s="71"/>
    </row>
    <row r="201" spans="13:13" ht="20.05" customHeight="1" x14ac:dyDescent="0.4">
      <c r="M201" s="71"/>
    </row>
    <row r="202" spans="13:13" ht="20.05" customHeight="1" x14ac:dyDescent="0.4">
      <c r="M202" s="71"/>
    </row>
    <row r="203" spans="13:13" ht="20.05" customHeight="1" x14ac:dyDescent="0.4">
      <c r="M203" s="71"/>
    </row>
    <row r="204" spans="13:13" ht="20.05" customHeight="1" x14ac:dyDescent="0.4">
      <c r="M204" s="71"/>
    </row>
    <row r="205" spans="13:13" ht="20.05" customHeight="1" x14ac:dyDescent="0.4">
      <c r="M205" s="71"/>
    </row>
    <row r="206" spans="13:13" ht="20.05" customHeight="1" x14ac:dyDescent="0.4">
      <c r="M206" s="71"/>
    </row>
    <row r="207" spans="13:13" ht="20.05" customHeight="1" x14ac:dyDescent="0.4">
      <c r="M207" s="71"/>
    </row>
    <row r="208" spans="13:13" ht="20.05" customHeight="1" x14ac:dyDescent="0.4">
      <c r="M208" s="71"/>
    </row>
    <row r="209" spans="13:13" ht="20.05" customHeight="1" x14ac:dyDescent="0.4">
      <c r="M209" s="71"/>
    </row>
    <row r="210" spans="13:13" ht="20.05" customHeight="1" x14ac:dyDescent="0.4">
      <c r="M210" s="71"/>
    </row>
    <row r="211" spans="13:13" ht="20.05" customHeight="1" x14ac:dyDescent="0.4">
      <c r="M211" s="71"/>
    </row>
    <row r="212" spans="13:13" ht="20.05" customHeight="1" x14ac:dyDescent="0.4">
      <c r="M212" s="71"/>
    </row>
    <row r="213" spans="13:13" ht="20.05" customHeight="1" x14ac:dyDescent="0.4">
      <c r="M213" s="71"/>
    </row>
    <row r="214" spans="13:13" ht="20.05" customHeight="1" x14ac:dyDescent="0.4">
      <c r="M214" s="71"/>
    </row>
    <row r="215" spans="13:13" ht="20.05" customHeight="1" x14ac:dyDescent="0.4">
      <c r="M215" s="71"/>
    </row>
    <row r="216" spans="13:13" ht="20.05" customHeight="1" x14ac:dyDescent="0.4">
      <c r="M216" s="71"/>
    </row>
    <row r="217" spans="13:13" ht="20.05" customHeight="1" x14ac:dyDescent="0.4">
      <c r="M217" s="71"/>
    </row>
    <row r="218" spans="13:13" ht="20.05" customHeight="1" x14ac:dyDescent="0.4">
      <c r="M218" s="71"/>
    </row>
    <row r="219" spans="13:13" ht="20.05" customHeight="1" x14ac:dyDescent="0.4">
      <c r="M219" s="71"/>
    </row>
    <row r="220" spans="13:13" ht="20.05" customHeight="1" x14ac:dyDescent="0.4">
      <c r="M220" s="71"/>
    </row>
    <row r="221" spans="13:13" ht="20.05" customHeight="1" x14ac:dyDescent="0.4">
      <c r="M221" s="71"/>
    </row>
    <row r="222" spans="13:13" ht="20.05" customHeight="1" x14ac:dyDescent="0.4">
      <c r="M222" s="71"/>
    </row>
    <row r="223" spans="13:13" ht="20.05" customHeight="1" x14ac:dyDescent="0.4">
      <c r="M223" s="71"/>
    </row>
    <row r="224" spans="13:13" ht="20.05" customHeight="1" x14ac:dyDescent="0.4">
      <c r="M224" s="71"/>
    </row>
    <row r="225" spans="13:13" ht="20.05" customHeight="1" x14ac:dyDescent="0.4">
      <c r="M225" s="71"/>
    </row>
    <row r="226" spans="13:13" ht="20.05" customHeight="1" x14ac:dyDescent="0.4">
      <c r="M226" s="71"/>
    </row>
    <row r="227" spans="13:13" ht="20.05" customHeight="1" x14ac:dyDescent="0.4">
      <c r="M227" s="71"/>
    </row>
    <row r="228" spans="13:13" ht="20.05" customHeight="1" x14ac:dyDescent="0.4">
      <c r="M228" s="71"/>
    </row>
    <row r="229" spans="13:13" ht="20.05" customHeight="1" x14ac:dyDescent="0.4">
      <c r="M229" s="71"/>
    </row>
    <row r="230" spans="13:13" ht="20.05" customHeight="1" x14ac:dyDescent="0.4">
      <c r="M230" s="71"/>
    </row>
    <row r="231" spans="13:13" ht="20.05" customHeight="1" x14ac:dyDescent="0.4">
      <c r="M231" s="71"/>
    </row>
    <row r="232" spans="13:13" ht="20.05" customHeight="1" x14ac:dyDescent="0.4">
      <c r="M232" s="71"/>
    </row>
    <row r="233" spans="13:13" ht="20.05" customHeight="1" x14ac:dyDescent="0.4">
      <c r="M233" s="71"/>
    </row>
    <row r="234" spans="13:13" ht="20.05" customHeight="1" x14ac:dyDescent="0.4">
      <c r="M234" s="71"/>
    </row>
    <row r="235" spans="13:13" ht="20.05" customHeight="1" x14ac:dyDescent="0.4">
      <c r="M235" s="71"/>
    </row>
    <row r="236" spans="13:13" ht="20.05" customHeight="1" x14ac:dyDescent="0.4">
      <c r="M236" s="71"/>
    </row>
    <row r="237" spans="13:13" ht="20.05" customHeight="1" x14ac:dyDescent="0.4">
      <c r="M237" s="71"/>
    </row>
    <row r="238" spans="13:13" ht="20.05" customHeight="1" x14ac:dyDescent="0.4">
      <c r="M238" s="71"/>
    </row>
    <row r="239" spans="13:13" ht="20.05" customHeight="1" x14ac:dyDescent="0.4">
      <c r="M239" s="71"/>
    </row>
    <row r="240" spans="13:13" ht="20.05" customHeight="1" x14ac:dyDescent="0.4">
      <c r="M240" s="71"/>
    </row>
    <row r="241" spans="13:13" ht="20.05" customHeight="1" x14ac:dyDescent="0.4">
      <c r="M241" s="71"/>
    </row>
    <row r="242" spans="13:13" ht="20.05" customHeight="1" x14ac:dyDescent="0.4">
      <c r="M242" s="71"/>
    </row>
    <row r="243" spans="13:13" ht="20.05" customHeight="1" x14ac:dyDescent="0.4">
      <c r="M243" s="71"/>
    </row>
    <row r="244" spans="13:13" ht="20.05" customHeight="1" x14ac:dyDescent="0.4">
      <c r="M244" s="71"/>
    </row>
    <row r="245" spans="13:13" ht="20.05" customHeight="1" x14ac:dyDescent="0.4">
      <c r="M245" s="71"/>
    </row>
    <row r="246" spans="13:13" ht="20.05" customHeight="1" x14ac:dyDescent="0.4">
      <c r="M246" s="71"/>
    </row>
    <row r="247" spans="13:13" ht="20.05" customHeight="1" x14ac:dyDescent="0.4">
      <c r="M247" s="71"/>
    </row>
    <row r="248" spans="13:13" ht="20.05" customHeight="1" x14ac:dyDescent="0.4">
      <c r="M248" s="71"/>
    </row>
  </sheetData>
  <mergeCells count="1">
    <mergeCell ref="C3:L3"/>
  </mergeCells>
  <phoneticPr fontId="2" type="noConversion"/>
  <hyperlinks>
    <hyperlink ref="B4" r:id="rId1" xr:uid="{948561DE-052F-4594-AA2E-91F500AC99FF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882FB-5CC7-49A2-9976-0F1F64178B1E}">
  <dimension ref="B1:AH136"/>
  <sheetViews>
    <sheetView showGridLines="0" zoomScale="70" zoomScaleNormal="70" workbookViewId="0">
      <selection activeCell="F32" sqref="F32"/>
    </sheetView>
  </sheetViews>
  <sheetFormatPr defaultRowHeight="14.6" x14ac:dyDescent="0.4"/>
  <cols>
    <col min="1" max="1" width="8.6640625" style="103"/>
    <col min="2" max="2" width="10.58203125" style="103" bestFit="1" customWidth="1"/>
    <col min="3" max="4" width="8.6640625" style="103"/>
    <col min="5" max="5" width="9.83203125" style="103" bestFit="1" customWidth="1"/>
    <col min="6" max="18" width="8.6640625" style="103"/>
    <col min="19" max="19" width="16.58203125" style="103" bestFit="1" customWidth="1"/>
    <col min="20" max="20" width="11.1640625" style="103" bestFit="1" customWidth="1"/>
    <col min="21" max="22" width="10.6640625" style="103" bestFit="1" customWidth="1"/>
    <col min="23" max="30" width="12.33203125" style="103" bestFit="1" customWidth="1"/>
    <col min="31" max="34" width="13.58203125" style="103" bestFit="1" customWidth="1"/>
    <col min="35" max="16384" width="8.6640625" style="103"/>
  </cols>
  <sheetData>
    <row r="1" spans="2:34" ht="31.3" customHeight="1" x14ac:dyDescent="0.4">
      <c r="B1" s="320" t="s">
        <v>258</v>
      </c>
    </row>
    <row r="2" spans="2:34" ht="7.75" customHeight="1" x14ac:dyDescent="0.4"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</row>
    <row r="3" spans="2:34" x14ac:dyDescent="0.4">
      <c r="B3" s="318" t="s">
        <v>76</v>
      </c>
    </row>
    <row r="4" spans="2:34" ht="23.15" x14ac:dyDescent="0.6">
      <c r="B4" s="251" t="s">
        <v>189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</row>
    <row r="6" spans="2:34" x14ac:dyDescent="0.4">
      <c r="S6" s="103" t="s">
        <v>71</v>
      </c>
      <c r="T6" s="103">
        <v>2016</v>
      </c>
      <c r="U6" s="103">
        <v>2017</v>
      </c>
      <c r="V6" s="103">
        <v>2018</v>
      </c>
      <c r="W6" s="103" t="s">
        <v>191</v>
      </c>
      <c r="X6" s="103" t="s">
        <v>192</v>
      </c>
      <c r="Y6" s="103" t="s">
        <v>193</v>
      </c>
      <c r="Z6" s="103" t="s">
        <v>194</v>
      </c>
      <c r="AA6" s="103" t="s">
        <v>195</v>
      </c>
      <c r="AB6" s="103" t="s">
        <v>196</v>
      </c>
      <c r="AC6" s="103" t="s">
        <v>197</v>
      </c>
      <c r="AD6" s="103" t="s">
        <v>198</v>
      </c>
      <c r="AE6" s="103" t="s">
        <v>199</v>
      </c>
      <c r="AF6" s="103" t="s">
        <v>200</v>
      </c>
      <c r="AG6" s="103" t="s">
        <v>201</v>
      </c>
      <c r="AH6" s="103" t="s">
        <v>202</v>
      </c>
    </row>
    <row r="7" spans="2:34" x14ac:dyDescent="0.4">
      <c r="S7" s="103" t="s">
        <v>42</v>
      </c>
      <c r="T7" s="249">
        <v>70</v>
      </c>
      <c r="U7" s="249">
        <f>'ASM &amp; Model'!BI38</f>
        <v>76</v>
      </c>
      <c r="V7" s="249">
        <f>'ASM &amp; Model'!BJ38</f>
        <v>82</v>
      </c>
      <c r="W7" s="249">
        <f>'ASM &amp; Model'!BK38</f>
        <v>86</v>
      </c>
      <c r="X7" s="249">
        <f>'ASM &amp; Model'!BL38</f>
        <v>87.5</v>
      </c>
      <c r="Y7" s="249">
        <f>'ASM &amp; Model'!BM38</f>
        <v>89</v>
      </c>
      <c r="Z7" s="249">
        <f>'ASM &amp; Model'!BN38</f>
        <v>90.5</v>
      </c>
      <c r="AA7" s="249">
        <f>'ASM &amp; Model'!BO38</f>
        <v>92</v>
      </c>
      <c r="AB7" s="249">
        <f>'ASM &amp; Model'!BP38</f>
        <v>93.5</v>
      </c>
      <c r="AC7" s="249">
        <f>'ASM &amp; Model'!BQ38</f>
        <v>95</v>
      </c>
      <c r="AD7" s="249">
        <f>'ASM &amp; Model'!BR38</f>
        <v>96.5</v>
      </c>
      <c r="AE7" s="249">
        <f>'ASM &amp; Model'!BS38</f>
        <v>98</v>
      </c>
      <c r="AF7" s="249">
        <f>'ASM &amp; Model'!BT38</f>
        <v>99.5</v>
      </c>
      <c r="AG7" s="249">
        <f>'ASM &amp; Model'!BU38</f>
        <v>101</v>
      </c>
      <c r="AH7" s="249">
        <f>'ASM &amp; Model'!BV38</f>
        <v>102.5</v>
      </c>
    </row>
    <row r="8" spans="2:34" x14ac:dyDescent="0.4">
      <c r="S8" s="103" t="s">
        <v>44</v>
      </c>
      <c r="T8" s="249">
        <v>90</v>
      </c>
      <c r="U8" s="249">
        <f>'ASM &amp; Model'!BI40</f>
        <v>139</v>
      </c>
      <c r="V8" s="249">
        <f>'ASM &amp; Model'!BJ40</f>
        <v>184</v>
      </c>
      <c r="W8" s="249">
        <f>'ASM &amp; Model'!BK40</f>
        <v>241</v>
      </c>
      <c r="X8" s="249">
        <f>'ASM &amp; Model'!BL40</f>
        <v>295</v>
      </c>
      <c r="Y8" s="249">
        <f>'ASM &amp; Model'!BM40</f>
        <v>341</v>
      </c>
      <c r="Z8" s="249">
        <f>'ASM &amp; Model'!BN40</f>
        <v>378</v>
      </c>
      <c r="AA8" s="249">
        <f>'ASM &amp; Model'!BO40</f>
        <v>407.5</v>
      </c>
      <c r="AB8" s="249">
        <f>'ASM &amp; Model'!BP40</f>
        <v>430.5</v>
      </c>
      <c r="AC8" s="249">
        <f>'ASM &amp; Model'!BQ40</f>
        <v>451</v>
      </c>
      <c r="AD8" s="249">
        <f>'ASM &amp; Model'!BR40</f>
        <v>469.75</v>
      </c>
      <c r="AE8" s="249">
        <f>'ASM &amp; Model'!BS40</f>
        <v>486.75</v>
      </c>
      <c r="AF8" s="249">
        <f>'ASM &amp; Model'!BT40</f>
        <v>503.75</v>
      </c>
      <c r="AG8" s="249">
        <f>'ASM &amp; Model'!BU40</f>
        <v>520.75</v>
      </c>
      <c r="AH8" s="249">
        <f>'ASM &amp; Model'!BV40</f>
        <v>537.75</v>
      </c>
    </row>
    <row r="10" spans="2:34" x14ac:dyDescent="0.4">
      <c r="S10" s="103" t="s">
        <v>186</v>
      </c>
      <c r="U10" s="103">
        <v>2017</v>
      </c>
      <c r="V10" s="103">
        <v>2018</v>
      </c>
      <c r="W10" s="103" t="s">
        <v>191</v>
      </c>
      <c r="X10" s="103" t="s">
        <v>192</v>
      </c>
      <c r="Y10" s="103" t="s">
        <v>193</v>
      </c>
      <c r="Z10" s="103" t="s">
        <v>194</v>
      </c>
      <c r="AA10" s="103" t="s">
        <v>195</v>
      </c>
      <c r="AB10" s="103" t="s">
        <v>196</v>
      </c>
      <c r="AC10" s="103" t="s">
        <v>197</v>
      </c>
      <c r="AD10" s="103" t="s">
        <v>198</v>
      </c>
      <c r="AE10" s="103" t="s">
        <v>199</v>
      </c>
      <c r="AF10" s="103" t="s">
        <v>200</v>
      </c>
      <c r="AG10" s="103" t="s">
        <v>201</v>
      </c>
      <c r="AH10" s="103" t="s">
        <v>202</v>
      </c>
    </row>
    <row r="11" spans="2:34" x14ac:dyDescent="0.4">
      <c r="S11" s="103" t="s">
        <v>187</v>
      </c>
      <c r="U11" s="248">
        <f>U7/T7-1</f>
        <v>8.5714285714285632E-2</v>
      </c>
      <c r="V11" s="248">
        <f t="shared" ref="V11:AH11" si="0">V7/U7-1</f>
        <v>7.8947368421052655E-2</v>
      </c>
      <c r="W11" s="248">
        <f t="shared" si="0"/>
        <v>4.8780487804878092E-2</v>
      </c>
      <c r="X11" s="248">
        <f t="shared" si="0"/>
        <v>1.744186046511631E-2</v>
      </c>
      <c r="Y11" s="248">
        <f t="shared" si="0"/>
        <v>1.7142857142857126E-2</v>
      </c>
      <c r="Z11" s="248">
        <f t="shared" si="0"/>
        <v>1.6853932584269593E-2</v>
      </c>
      <c r="AA11" s="248">
        <f t="shared" si="0"/>
        <v>1.6574585635359185E-2</v>
      </c>
      <c r="AB11" s="248">
        <f t="shared" si="0"/>
        <v>1.6304347826086918E-2</v>
      </c>
      <c r="AC11" s="248">
        <f t="shared" si="0"/>
        <v>1.6042780748663166E-2</v>
      </c>
      <c r="AD11" s="248">
        <f t="shared" si="0"/>
        <v>1.5789473684210575E-2</v>
      </c>
      <c r="AE11" s="248">
        <f t="shared" si="0"/>
        <v>1.5544041450777257E-2</v>
      </c>
      <c r="AF11" s="248">
        <f t="shared" si="0"/>
        <v>1.5306122448979664E-2</v>
      </c>
      <c r="AG11" s="248">
        <f t="shared" si="0"/>
        <v>1.5075376884422065E-2</v>
      </c>
      <c r="AH11" s="248">
        <f t="shared" si="0"/>
        <v>1.4851485148514865E-2</v>
      </c>
    </row>
    <row r="12" spans="2:34" x14ac:dyDescent="0.4">
      <c r="S12" s="103" t="s">
        <v>188</v>
      </c>
      <c r="U12" s="248">
        <f>U8/T8-1</f>
        <v>0.54444444444444451</v>
      </c>
      <c r="V12" s="248">
        <f t="shared" ref="V12:AH12" si="1">V8/U8-1</f>
        <v>0.32374100719424459</v>
      </c>
      <c r="W12" s="248">
        <f t="shared" si="1"/>
        <v>0.30978260869565211</v>
      </c>
      <c r="X12" s="248">
        <f t="shared" si="1"/>
        <v>0.22406639004149387</v>
      </c>
      <c r="Y12" s="248">
        <f t="shared" si="1"/>
        <v>0.15593220338983049</v>
      </c>
      <c r="Z12" s="248">
        <f t="shared" si="1"/>
        <v>0.10850439882697938</v>
      </c>
      <c r="AA12" s="248">
        <f t="shared" si="1"/>
        <v>7.8042328042328135E-2</v>
      </c>
      <c r="AB12" s="248">
        <f t="shared" si="1"/>
        <v>5.6441717791410939E-2</v>
      </c>
      <c r="AC12" s="248">
        <f t="shared" si="1"/>
        <v>4.7619047619047672E-2</v>
      </c>
      <c r="AD12" s="248">
        <f t="shared" si="1"/>
        <v>4.1574279379157364E-2</v>
      </c>
      <c r="AE12" s="248">
        <f t="shared" si="1"/>
        <v>3.6189462480042511E-2</v>
      </c>
      <c r="AF12" s="248">
        <f t="shared" si="1"/>
        <v>3.4925526450950262E-2</v>
      </c>
      <c r="AG12" s="248">
        <f t="shared" si="1"/>
        <v>3.3746898263027347E-2</v>
      </c>
      <c r="AH12" s="248">
        <f t="shared" si="1"/>
        <v>3.2645223235717724E-2</v>
      </c>
    </row>
    <row r="37" spans="2:34" ht="23.15" x14ac:dyDescent="0.6">
      <c r="B37" s="251" t="s">
        <v>190</v>
      </c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</row>
    <row r="39" spans="2:34" x14ac:dyDescent="0.4">
      <c r="T39" s="103">
        <v>2016</v>
      </c>
      <c r="U39" s="103">
        <v>2017</v>
      </c>
      <c r="V39" s="103">
        <v>2018</v>
      </c>
      <c r="W39" s="103" t="s">
        <v>191</v>
      </c>
      <c r="X39" s="103" t="s">
        <v>192</v>
      </c>
      <c r="Y39" s="103" t="s">
        <v>193</v>
      </c>
      <c r="Z39" s="103" t="s">
        <v>194</v>
      </c>
      <c r="AA39" s="103" t="s">
        <v>195</v>
      </c>
      <c r="AB39" s="103" t="s">
        <v>196</v>
      </c>
      <c r="AC39" s="103" t="s">
        <v>197</v>
      </c>
      <c r="AD39" s="103" t="s">
        <v>198</v>
      </c>
      <c r="AE39" s="103" t="s">
        <v>199</v>
      </c>
      <c r="AF39" s="103" t="s">
        <v>200</v>
      </c>
      <c r="AG39" s="103" t="s">
        <v>201</v>
      </c>
      <c r="AH39" s="103" t="s">
        <v>202</v>
      </c>
    </row>
    <row r="40" spans="2:34" x14ac:dyDescent="0.4">
      <c r="S40" s="103" t="s">
        <v>203</v>
      </c>
      <c r="T40" s="252"/>
      <c r="U40" s="253">
        <f>'ASM &amp; Model'!BI46</f>
        <v>5.9761842105263154</v>
      </c>
      <c r="V40" s="253">
        <f>'ASM &amp; Model'!BJ46</f>
        <v>8.795365853658538</v>
      </c>
      <c r="W40" s="253">
        <f>'ASM &amp; Model'!BK46</f>
        <v>12.661860465116279</v>
      </c>
      <c r="X40" s="253">
        <f>'ASM &amp; Model'!BL46</f>
        <v>16.717657142857146</v>
      </c>
      <c r="Y40" s="253">
        <f>'ASM &amp; Model'!BM46</f>
        <v>20.972865168539325</v>
      </c>
      <c r="Z40" s="253">
        <f>'ASM &amp; Model'!BN46</f>
        <v>25.328204419889502</v>
      </c>
      <c r="AA40" s="253">
        <f>'ASM &amp; Model'!BO46</f>
        <v>29.684347826086956</v>
      </c>
      <c r="AB40" s="253">
        <f>'ASM &amp; Model'!BP46</f>
        <v>33.643930481283427</v>
      </c>
      <c r="AC40" s="253">
        <f>'ASM &amp; Model'!BQ46</f>
        <v>37.206789473684211</v>
      </c>
      <c r="AD40" s="253">
        <f>'ASM &amp; Model'!BR46</f>
        <v>40.174067357512953</v>
      </c>
      <c r="AE40" s="253">
        <f>'ASM &amp; Model'!BS46</f>
        <v>42.545561224489795</v>
      </c>
      <c r="AF40" s="253">
        <f>'ASM &amp; Model'!BT46</f>
        <v>44.321080402010047</v>
      </c>
      <c r="AG40" s="253">
        <f>'ASM &amp; Model'!BU46</f>
        <v>45.500445544554459</v>
      </c>
      <c r="AH40" s="253">
        <f>'ASM &amp; Model'!BV46</f>
        <v>46.083487804878054</v>
      </c>
    </row>
    <row r="41" spans="2:34" x14ac:dyDescent="0.4">
      <c r="S41" s="103" t="s">
        <v>204</v>
      </c>
      <c r="T41" s="252"/>
      <c r="U41" s="253">
        <f>'ASM &amp; Model'!BI50</f>
        <v>0.27230215827338128</v>
      </c>
      <c r="V41" s="253">
        <f>'ASM &amp; Model'!BJ50</f>
        <v>0.33994565217391304</v>
      </c>
      <c r="W41" s="253">
        <f>'ASM &amp; Model'!BK50</f>
        <v>0.60672199170124486</v>
      </c>
      <c r="X41" s="253">
        <f>'ASM &amp; Model'!BL50</f>
        <v>1.3494406779661017</v>
      </c>
      <c r="Y41" s="253">
        <f>'ASM &amp; Model'!BM50</f>
        <v>2.5667448680351903</v>
      </c>
      <c r="Z41" s="253">
        <f>'ASM &amp; Model'!BN50</f>
        <v>4.0160582010582013</v>
      </c>
      <c r="AA41" s="253">
        <f>'ASM &amp; Model'!BO50</f>
        <v>5.6986993865030673</v>
      </c>
      <c r="AB41" s="253">
        <f>'ASM &amp; Model'!BP50</f>
        <v>7.6272706155632983</v>
      </c>
      <c r="AC41" s="253">
        <f>'ASM &amp; Model'!BQ50</f>
        <v>9.6533536585365862</v>
      </c>
      <c r="AD41" s="253">
        <f>'ASM &amp; Model'!BR50</f>
        <v>11.787386907929749</v>
      </c>
      <c r="AE41" s="253">
        <f>'ASM &amp; Model'!BS50</f>
        <v>13.966512583461736</v>
      </c>
      <c r="AF41" s="253">
        <f>'ASM &amp; Model'!BT50</f>
        <v>16.128069478908188</v>
      </c>
      <c r="AG41" s="253">
        <f>'ASM &amp; Model'!BU50</f>
        <v>18.280652904464713</v>
      </c>
      <c r="AH41" s="253">
        <f>'ASM &amp; Model'!BV50</f>
        <v>19.718977219897724</v>
      </c>
    </row>
    <row r="42" spans="2:34" x14ac:dyDescent="0.4">
      <c r="S42" s="103" t="s">
        <v>205</v>
      </c>
      <c r="T42" s="252"/>
      <c r="U42" s="253">
        <f>'ASM &amp; Model'!BI54</f>
        <v>2.2885581395348837</v>
      </c>
      <c r="V42" s="253">
        <f>'ASM &amp; Model'!BJ54</f>
        <v>2.9465037593984964</v>
      </c>
      <c r="W42" s="253">
        <f>'ASM &amp; Model'!BK54</f>
        <v>3.7771865443425074</v>
      </c>
      <c r="X42" s="253">
        <f>'ASM &amp; Model'!BL54</f>
        <v>4.8650457516339864</v>
      </c>
      <c r="Y42" s="253">
        <f>'ASM &amp; Model'!BM54</f>
        <v>6.3763837209302325</v>
      </c>
      <c r="Z42" s="253">
        <f>'ASM &amp; Model'!BN54</f>
        <v>8.1329188900747074</v>
      </c>
      <c r="AA42" s="253">
        <f>'ASM &amp; Model'!BO54</f>
        <v>10.116476476476477</v>
      </c>
      <c r="AB42" s="253">
        <f>'ASM &amp; Model'!BP54</f>
        <v>12.269556297709924</v>
      </c>
      <c r="AC42" s="253">
        <f>'ASM &amp; Model'!BQ54</f>
        <v>14.447449633699634</v>
      </c>
      <c r="AD42" s="253">
        <f>'ASM &amp; Model'!BR54</f>
        <v>16.625028697571743</v>
      </c>
      <c r="AE42" s="253">
        <f>'ASM &amp; Model'!BS54</f>
        <v>18.756160752458317</v>
      </c>
      <c r="AF42" s="253">
        <f>'ASM &amp; Model'!BT54</f>
        <v>20.778222130128469</v>
      </c>
      <c r="AG42" s="253">
        <f>'ASM &amp; Model'!BU54</f>
        <v>22.702364294330522</v>
      </c>
      <c r="AH42" s="253">
        <f>'ASM &amp; Model'!BV54</f>
        <v>23.939769621241702</v>
      </c>
    </row>
    <row r="45" spans="2:34" x14ac:dyDescent="0.4">
      <c r="U45" s="103">
        <v>2017</v>
      </c>
      <c r="V45" s="103">
        <v>2018</v>
      </c>
      <c r="W45" s="103" t="s">
        <v>191</v>
      </c>
      <c r="X45" s="103" t="s">
        <v>192</v>
      </c>
      <c r="Y45" s="103" t="s">
        <v>193</v>
      </c>
      <c r="Z45" s="103" t="s">
        <v>194</v>
      </c>
      <c r="AA45" s="103" t="s">
        <v>195</v>
      </c>
      <c r="AB45" s="103" t="s">
        <v>196</v>
      </c>
      <c r="AC45" s="103" t="s">
        <v>197</v>
      </c>
      <c r="AD45" s="103" t="s">
        <v>198</v>
      </c>
      <c r="AE45" s="103" t="s">
        <v>199</v>
      </c>
      <c r="AF45" s="103" t="s">
        <v>200</v>
      </c>
      <c r="AG45" s="103" t="s">
        <v>201</v>
      </c>
      <c r="AH45" s="103" t="s">
        <v>202</v>
      </c>
    </row>
    <row r="46" spans="2:34" x14ac:dyDescent="0.4">
      <c r="S46" s="103" t="s">
        <v>206</v>
      </c>
      <c r="U46" s="254">
        <f>'ASM &amp; Model'!BI80/1000</f>
        <v>454.19</v>
      </c>
      <c r="V46" s="254">
        <f>'ASM &amp; Model'!BJ80/1000</f>
        <v>721.22</v>
      </c>
      <c r="W46" s="254">
        <f>'ASM &amp; Model'!BK80/1000</f>
        <v>1088.92</v>
      </c>
      <c r="X46" s="254">
        <f>'ASM &amp; Model'!BL80/1000</f>
        <v>1462.7950000000001</v>
      </c>
      <c r="Y46" s="254">
        <f>'ASM &amp; Model'!BM80/1000</f>
        <v>1866.585</v>
      </c>
      <c r="Z46" s="254">
        <f>'ASM &amp; Model'!BN80/1000</f>
        <v>2292.2024999999999</v>
      </c>
      <c r="AA46" s="254">
        <f>'ASM &amp; Model'!BO80/1000</f>
        <v>2730.96</v>
      </c>
      <c r="AB46" s="254">
        <f>'ASM &amp; Model'!BP80/1000</f>
        <v>3145.7075</v>
      </c>
      <c r="AC46" s="254">
        <f>'ASM &amp; Model'!BQ80/1000</f>
        <v>3534.645</v>
      </c>
      <c r="AD46" s="254">
        <f>'ASM &amp; Model'!BR80/1000</f>
        <v>3876.7975000000001</v>
      </c>
      <c r="AE46" s="254">
        <f>'ASM &amp; Model'!BS80/1000</f>
        <v>4169.4650000000001</v>
      </c>
      <c r="AF46" s="254">
        <f>'ASM &amp; Model'!BT80/1000</f>
        <v>4409.9475000000002</v>
      </c>
      <c r="AG46" s="254">
        <f>'ASM &amp; Model'!BU80/1000</f>
        <v>4595.5450000000001</v>
      </c>
      <c r="AH46" s="254">
        <f>'ASM &amp; Model'!BV80/1000</f>
        <v>4723.5574999999999</v>
      </c>
    </row>
    <row r="47" spans="2:34" x14ac:dyDescent="0.4">
      <c r="S47" s="103" t="s">
        <v>207</v>
      </c>
      <c r="U47" s="254">
        <f>'ASM &amp; Model'!BI83/1000</f>
        <v>37.85</v>
      </c>
      <c r="V47" s="254">
        <f>'ASM &amp; Model'!BJ83/1000</f>
        <v>62.55</v>
      </c>
      <c r="W47" s="254">
        <f>'ASM &amp; Model'!BK83/1000</f>
        <v>146.22</v>
      </c>
      <c r="X47" s="254">
        <f>'ASM &amp; Model'!BL83/1000</f>
        <v>398.08499999999998</v>
      </c>
      <c r="Y47" s="254">
        <f>'ASM &amp; Model'!BM83/1000</f>
        <v>875.26</v>
      </c>
      <c r="Z47" s="254">
        <f>'ASM &amp; Model'!BN83/1000</f>
        <v>1518.0700000000002</v>
      </c>
      <c r="AA47" s="254">
        <f>'ASM &amp; Model'!BO83/1000</f>
        <v>2322.2199999999998</v>
      </c>
      <c r="AB47" s="254">
        <f>'ASM &amp; Model'!BP83/1000</f>
        <v>3283.54</v>
      </c>
      <c r="AC47" s="254">
        <f>'ASM &amp; Model'!BQ83/1000</f>
        <v>4353.6625000000004</v>
      </c>
      <c r="AD47" s="254">
        <f>'ASM &amp; Model'!BR83/1000</f>
        <v>5537.125</v>
      </c>
      <c r="AE47" s="254">
        <f>'ASM &amp; Model'!BS83/1000</f>
        <v>6798.2</v>
      </c>
      <c r="AF47" s="254">
        <f>'ASM &amp; Model'!BT83/1000</f>
        <v>8124.5150000000003</v>
      </c>
      <c r="AG47" s="254">
        <f>'ASM &amp; Model'!BU83/1000</f>
        <v>9519.65</v>
      </c>
      <c r="AH47" s="254">
        <f>'ASM &amp; Model'!BV83/1000</f>
        <v>10603.88</v>
      </c>
    </row>
    <row r="48" spans="2:34" x14ac:dyDescent="0.4">
      <c r="S48" s="103" t="s">
        <v>208</v>
      </c>
      <c r="U48" s="254">
        <f>'ASM &amp; Model'!BI86/1000</f>
        <v>492.04</v>
      </c>
      <c r="V48" s="254">
        <f>'ASM &amp; Model'!BJ86/1000</f>
        <v>783.77</v>
      </c>
      <c r="W48" s="254">
        <f>'ASM &amp; Model'!BK86/1000</f>
        <v>1235.1400000000001</v>
      </c>
      <c r="X48" s="254">
        <f>'ASM &amp; Model'!BL86/1000</f>
        <v>1860.88</v>
      </c>
      <c r="Y48" s="254">
        <f>'ASM &amp; Model'!BM86/1000</f>
        <v>2741.8449999999998</v>
      </c>
      <c r="Z48" s="254">
        <f>'ASM &amp; Model'!BN86/1000</f>
        <v>3810.2725</v>
      </c>
      <c r="AA48" s="254">
        <f>'ASM &amp; Model'!BO86/1000</f>
        <v>5053.18</v>
      </c>
      <c r="AB48" s="254">
        <f>'ASM &amp; Model'!BP86/1000</f>
        <v>6429.2475000000004</v>
      </c>
      <c r="AC48" s="254">
        <f>'ASM &amp; Model'!BQ86/1000</f>
        <v>7888.3074999999999</v>
      </c>
      <c r="AD48" s="254">
        <f>'ASM &amp; Model'!BR86/1000</f>
        <v>9413.9225000000006</v>
      </c>
      <c r="AE48" s="254">
        <f>'ASM &amp; Model'!BS86/1000</f>
        <v>10967.665000000001</v>
      </c>
      <c r="AF48" s="254">
        <f>'ASM &amp; Model'!BT86/1000</f>
        <v>12534.4625</v>
      </c>
      <c r="AG48" s="254">
        <f>'ASM &amp; Model'!BU86/1000</f>
        <v>14115.195</v>
      </c>
      <c r="AH48" s="254">
        <f>'ASM &amp; Model'!BV86/1000</f>
        <v>15327.4375</v>
      </c>
    </row>
    <row r="49" spans="19:34" x14ac:dyDescent="0.4">
      <c r="S49" s="103" t="s">
        <v>251</v>
      </c>
      <c r="U49" s="247">
        <f t="shared" ref="U49:AH49" si="2">U46/U48</f>
        <v>0.9230753597268514</v>
      </c>
      <c r="V49" s="247">
        <f t="shared" si="2"/>
        <v>0.92019342409125127</v>
      </c>
      <c r="W49" s="247">
        <f t="shared" si="2"/>
        <v>0.88161665884029339</v>
      </c>
      <c r="X49" s="247">
        <f t="shared" si="2"/>
        <v>0.78607701732513646</v>
      </c>
      <c r="Y49" s="247">
        <f t="shared" si="2"/>
        <v>0.68077699505260147</v>
      </c>
      <c r="Z49" s="247">
        <f t="shared" si="2"/>
        <v>0.60158492601250957</v>
      </c>
      <c r="AA49" s="247">
        <f t="shared" si="2"/>
        <v>0.54044383932493989</v>
      </c>
      <c r="AB49" s="247">
        <f t="shared" si="2"/>
        <v>0.48928082174469095</v>
      </c>
      <c r="AC49" s="247">
        <f t="shared" si="2"/>
        <v>0.44808661427055169</v>
      </c>
      <c r="AD49" s="247">
        <f t="shared" si="2"/>
        <v>0.41181531927844106</v>
      </c>
      <c r="AE49" s="247">
        <f t="shared" si="2"/>
        <v>0.38015976965014886</v>
      </c>
      <c r="AF49" s="247">
        <f t="shared" si="2"/>
        <v>0.35182581622466863</v>
      </c>
      <c r="AG49" s="247">
        <f t="shared" si="2"/>
        <v>0.32557431902286865</v>
      </c>
      <c r="AH49" s="247">
        <f t="shared" si="2"/>
        <v>0.30817659507663953</v>
      </c>
    </row>
    <row r="50" spans="19:34" x14ac:dyDescent="0.4">
      <c r="S50" s="103" t="s">
        <v>252</v>
      </c>
      <c r="U50" s="247">
        <f t="shared" ref="U50:AH50" si="3">U47/U48</f>
        <v>7.692464027314852E-2</v>
      </c>
      <c r="V50" s="247">
        <f t="shared" si="3"/>
        <v>7.9806575908748734E-2</v>
      </c>
      <c r="W50" s="247">
        <f t="shared" si="3"/>
        <v>0.11838334115970658</v>
      </c>
      <c r="X50" s="247">
        <f t="shared" si="3"/>
        <v>0.21392298267486348</v>
      </c>
      <c r="Y50" s="247">
        <f t="shared" si="3"/>
        <v>0.31922300494739858</v>
      </c>
      <c r="Z50" s="247">
        <f t="shared" si="3"/>
        <v>0.39841507398749043</v>
      </c>
      <c r="AA50" s="247">
        <f t="shared" si="3"/>
        <v>0.45955616067506</v>
      </c>
      <c r="AB50" s="247">
        <f t="shared" si="3"/>
        <v>0.51071917825530899</v>
      </c>
      <c r="AC50" s="247">
        <f t="shared" si="3"/>
        <v>0.55191338572944837</v>
      </c>
      <c r="AD50" s="247">
        <f t="shared" si="3"/>
        <v>0.58818468072155894</v>
      </c>
      <c r="AE50" s="247">
        <f t="shared" si="3"/>
        <v>0.61984023034985103</v>
      </c>
      <c r="AF50" s="247">
        <f t="shared" si="3"/>
        <v>0.64817418377533143</v>
      </c>
      <c r="AG50" s="247">
        <f t="shared" si="3"/>
        <v>0.6744256809771314</v>
      </c>
      <c r="AH50" s="247">
        <f t="shared" si="3"/>
        <v>0.69182340492336047</v>
      </c>
    </row>
    <row r="52" spans="19:34" x14ac:dyDescent="0.4">
      <c r="S52" s="103" t="s">
        <v>209</v>
      </c>
      <c r="V52" s="247">
        <f t="shared" ref="V52:AH52" si="4">V46/U46-1</f>
        <v>0.58792575794271129</v>
      </c>
      <c r="W52" s="247">
        <f t="shared" si="4"/>
        <v>0.50983056487618206</v>
      </c>
      <c r="X52" s="247">
        <f t="shared" si="4"/>
        <v>0.34334478198582086</v>
      </c>
      <c r="Y52" s="247">
        <f t="shared" si="4"/>
        <v>0.27604004662307435</v>
      </c>
      <c r="Z52" s="247">
        <f t="shared" si="4"/>
        <v>0.22801935084659952</v>
      </c>
      <c r="AA52" s="247">
        <f t="shared" si="4"/>
        <v>0.19141306232760846</v>
      </c>
      <c r="AB52" s="247">
        <f t="shared" si="4"/>
        <v>0.15186875677417455</v>
      </c>
      <c r="AC52" s="247">
        <f t="shared" si="4"/>
        <v>0.1236407072176926</v>
      </c>
      <c r="AD52" s="247">
        <f t="shared" si="4"/>
        <v>9.6799678609874595E-2</v>
      </c>
      <c r="AE52" s="247">
        <f t="shared" si="4"/>
        <v>7.5492078190826373E-2</v>
      </c>
      <c r="AF52" s="247">
        <f t="shared" si="4"/>
        <v>5.7677064083761387E-2</v>
      </c>
      <c r="AG52" s="247">
        <f t="shared" si="4"/>
        <v>4.2086101932052422E-2</v>
      </c>
      <c r="AH52" s="247">
        <f t="shared" si="4"/>
        <v>2.7855782067197632E-2</v>
      </c>
    </row>
    <row r="53" spans="19:34" x14ac:dyDescent="0.4">
      <c r="S53" s="103" t="s">
        <v>210</v>
      </c>
      <c r="V53" s="247">
        <f t="shared" ref="V53:AH53" si="5">V47/U47-1</f>
        <v>0.65257595772787313</v>
      </c>
      <c r="W53" s="247">
        <f t="shared" si="5"/>
        <v>1.3376498800959236</v>
      </c>
      <c r="X53" s="247">
        <f t="shared" si="5"/>
        <v>1.7225071809601968</v>
      </c>
      <c r="Y53" s="247">
        <f t="shared" si="5"/>
        <v>1.198676162126179</v>
      </c>
      <c r="Z53" s="247">
        <f t="shared" si="5"/>
        <v>0.7344217718163748</v>
      </c>
      <c r="AA53" s="247">
        <f t="shared" si="5"/>
        <v>0.52971865592495715</v>
      </c>
      <c r="AB53" s="247">
        <f t="shared" si="5"/>
        <v>0.41396594637889605</v>
      </c>
      <c r="AC53" s="247">
        <f t="shared" si="5"/>
        <v>0.32590512069291089</v>
      </c>
      <c r="AD53" s="247">
        <f t="shared" si="5"/>
        <v>0.27183147522344675</v>
      </c>
      <c r="AE53" s="247">
        <f t="shared" si="5"/>
        <v>0.22774905749825036</v>
      </c>
      <c r="AF53" s="247">
        <f t="shared" si="5"/>
        <v>0.19509796710894078</v>
      </c>
      <c r="AG53" s="247">
        <f t="shared" si="5"/>
        <v>0.17171917339065779</v>
      </c>
      <c r="AH53" s="247">
        <f t="shared" si="5"/>
        <v>0.1138938931578366</v>
      </c>
    </row>
    <row r="54" spans="19:34" x14ac:dyDescent="0.4">
      <c r="S54" s="103" t="s">
        <v>211</v>
      </c>
      <c r="V54" s="247">
        <f t="shared" ref="V54:AH54" si="6">V48/U48-1</f>
        <v>0.59289895130477177</v>
      </c>
      <c r="W54" s="247">
        <f t="shared" si="6"/>
        <v>0.57589598989499491</v>
      </c>
      <c r="X54" s="247">
        <f t="shared" si="6"/>
        <v>0.50661463477824364</v>
      </c>
      <c r="Y54" s="247">
        <f t="shared" si="6"/>
        <v>0.47341311637504813</v>
      </c>
      <c r="Z54" s="247">
        <f t="shared" si="6"/>
        <v>0.38967465338120877</v>
      </c>
      <c r="AA54" s="247">
        <f t="shared" si="6"/>
        <v>0.32619911043107819</v>
      </c>
      <c r="AB54" s="247">
        <f t="shared" si="6"/>
        <v>0.27231713495264365</v>
      </c>
      <c r="AC54" s="247">
        <f t="shared" si="6"/>
        <v>0.22694102225804791</v>
      </c>
      <c r="AD54" s="247">
        <f t="shared" si="6"/>
        <v>0.19340207008917965</v>
      </c>
      <c r="AE54" s="247">
        <f t="shared" si="6"/>
        <v>0.16504730095239251</v>
      </c>
      <c r="AF54" s="247">
        <f t="shared" si="6"/>
        <v>0.14285606826977282</v>
      </c>
      <c r="AG54" s="247">
        <f t="shared" si="6"/>
        <v>0.12611091221502324</v>
      </c>
      <c r="AH54" s="247">
        <f t="shared" si="6"/>
        <v>8.5882093729487963E-2</v>
      </c>
    </row>
    <row r="87" spans="2:34" ht="23.15" x14ac:dyDescent="0.6">
      <c r="B87" s="251" t="s">
        <v>254</v>
      </c>
      <c r="C87" s="250"/>
      <c r="D87" s="250"/>
      <c r="E87" s="250"/>
      <c r="F87" s="250"/>
      <c r="G87" s="250"/>
      <c r="H87" s="250"/>
      <c r="I87" s="250"/>
      <c r="J87" s="250"/>
      <c r="K87" s="250"/>
      <c r="L87" s="250"/>
      <c r="M87" s="250"/>
      <c r="N87" s="250"/>
      <c r="O87" s="250"/>
      <c r="P87" s="250"/>
      <c r="Q87" s="250"/>
      <c r="R87" s="250"/>
      <c r="S87" s="250"/>
      <c r="T87" s="250"/>
      <c r="U87" s="250"/>
      <c r="V87" s="250"/>
      <c r="W87" s="250"/>
      <c r="X87" s="250"/>
      <c r="Y87" s="250"/>
      <c r="Z87" s="250"/>
      <c r="AA87" s="250"/>
      <c r="AB87" s="250"/>
      <c r="AC87" s="250"/>
      <c r="AD87" s="250"/>
      <c r="AE87" s="250"/>
      <c r="AF87" s="250"/>
      <c r="AG87" s="250"/>
      <c r="AH87" s="250"/>
    </row>
    <row r="89" spans="2:34" x14ac:dyDescent="0.4">
      <c r="U89" s="315">
        <v>2017</v>
      </c>
      <c r="V89" s="315">
        <v>2018</v>
      </c>
      <c r="W89" s="315" t="s">
        <v>191</v>
      </c>
      <c r="X89" s="315" t="s">
        <v>192</v>
      </c>
      <c r="Y89" s="315" t="s">
        <v>193</v>
      </c>
      <c r="Z89" s="315" t="s">
        <v>194</v>
      </c>
      <c r="AA89" s="315" t="s">
        <v>195</v>
      </c>
      <c r="AB89" s="315" t="s">
        <v>196</v>
      </c>
      <c r="AC89" s="315" t="s">
        <v>197</v>
      </c>
      <c r="AD89" s="315" t="s">
        <v>198</v>
      </c>
      <c r="AE89" s="315" t="s">
        <v>199</v>
      </c>
      <c r="AF89" s="315" t="s">
        <v>200</v>
      </c>
      <c r="AG89" s="315" t="s">
        <v>201</v>
      </c>
      <c r="AH89" s="315" t="s">
        <v>202</v>
      </c>
    </row>
    <row r="90" spans="2:34" x14ac:dyDescent="0.4">
      <c r="S90" s="103" t="s">
        <v>2</v>
      </c>
      <c r="U90" s="247">
        <f>'ASM &amp; Model'!BI12</f>
        <v>0.62215661560065305</v>
      </c>
      <c r="V90" s="247">
        <f>'ASM &amp; Model'!BJ12</f>
        <v>0.68041569876655572</v>
      </c>
      <c r="W90" s="247">
        <f>'ASM &amp; Model'!BK12</f>
        <v>0.66891245797493326</v>
      </c>
      <c r="X90" s="247">
        <f>'ASM &amp; Model'!BL12</f>
        <v>0.68039821123152466</v>
      </c>
      <c r="Y90" s="247">
        <f>'ASM &amp; Model'!BM12</f>
        <v>0.69009540047541695</v>
      </c>
      <c r="Z90" s="247">
        <f>'ASM &amp; Model'!BN12</f>
        <v>0.69971419322804862</v>
      </c>
      <c r="AA90" s="247">
        <f>'ASM &amp; Model'!BO12</f>
        <v>0.71042984813523369</v>
      </c>
      <c r="AB90" s="247">
        <f>'ASM &amp; Model'!BP12</f>
        <v>0.71989778352754352</v>
      </c>
      <c r="AC90" s="247">
        <f>'ASM &amp; Model'!BQ12</f>
        <v>0.7295365007005622</v>
      </c>
      <c r="AD90" s="247">
        <f>'ASM &amp; Model'!BR12</f>
        <v>0.72927434074372288</v>
      </c>
      <c r="AE90" s="247">
        <f>'ASM &amp; Model'!BS12</f>
        <v>0.72908193083942663</v>
      </c>
      <c r="AF90" s="247">
        <f>'ASM &amp; Model'!BT12</f>
        <v>0.72895045359942634</v>
      </c>
      <c r="AG90" s="247">
        <f>'ASM &amp; Model'!BU12</f>
        <v>0.72885340053750591</v>
      </c>
      <c r="AH90" s="247">
        <f>'ASM &amp; Model'!BV12</f>
        <v>0.72886774941995358</v>
      </c>
    </row>
    <row r="91" spans="2:34" x14ac:dyDescent="0.4">
      <c r="S91" s="103" t="s">
        <v>6</v>
      </c>
      <c r="U91" s="247">
        <f>'ASM &amp; Model'!BI21</f>
        <v>-0.29170649590146602</v>
      </c>
      <c r="V91" s="247">
        <f>'ASM &amp; Model'!BJ21</f>
        <v>-9.8846192514670625E-2</v>
      </c>
      <c r="W91" s="247">
        <f>'ASM &amp; Model'!BK21</f>
        <v>-1.0920737108849989</v>
      </c>
      <c r="X91" s="247">
        <f>'ASM &amp; Model'!BL21</f>
        <v>-0.16829882370437643</v>
      </c>
      <c r="Y91" s="247">
        <f>'ASM &amp; Model'!BM21</f>
        <v>-8.9929533222155147E-2</v>
      </c>
      <c r="Z91" s="247">
        <f>'ASM &amp; Model'!BN21</f>
        <v>-3.287694671903383E-2</v>
      </c>
      <c r="AA91" s="247">
        <f>'ASM &amp; Model'!BO21</f>
        <v>5.4628943391092422E-2</v>
      </c>
      <c r="AB91" s="247">
        <f>'ASM &amp; Model'!BP21</f>
        <v>8.5395735542534518E-2</v>
      </c>
      <c r="AC91" s="247">
        <f>'ASM &amp; Model'!BQ21</f>
        <v>0.11009535692399811</v>
      </c>
      <c r="AD91" s="247">
        <f>'ASM &amp; Model'!BR21</f>
        <v>0.12150247137179007</v>
      </c>
      <c r="AE91" s="247">
        <f>'ASM &amp; Model'!BS21</f>
        <v>0.13307961729023463</v>
      </c>
      <c r="AF91" s="247">
        <f>'ASM &amp; Model'!BT21</f>
        <v>0.14480560092724368</v>
      </c>
      <c r="AG91" s="247">
        <f>'ASM &amp; Model'!BU21</f>
        <v>0.15661563895840627</v>
      </c>
      <c r="AH91" s="247">
        <f>'ASM &amp; Model'!BV21</f>
        <v>0.16869943923111755</v>
      </c>
    </row>
    <row r="92" spans="2:34" x14ac:dyDescent="0.4">
      <c r="S92" s="103" t="s">
        <v>213</v>
      </c>
      <c r="U92" s="247">
        <f>'ASM &amp; Model'!BI24</f>
        <v>-0.25758376828267621</v>
      </c>
      <c r="V92" s="247">
        <f>'ASM &amp; Model'!BJ24</f>
        <v>-7.1252440695723951E-2</v>
      </c>
      <c r="W92" s="247">
        <f>'ASM &amp; Model'!BK24</f>
        <v>-1.0665591862842914</v>
      </c>
      <c r="X92" s="247">
        <f>'ASM &amp; Model'!BL24</f>
        <v>-0.14329882370437641</v>
      </c>
      <c r="Y92" s="247">
        <f>'ASM &amp; Model'!BM24</f>
        <v>-6.4929533222155139E-2</v>
      </c>
      <c r="Z92" s="247">
        <f>'ASM &amp; Model'!BN24</f>
        <v>-7.87694671903383E-3</v>
      </c>
      <c r="AA92" s="247">
        <f>'ASM &amp; Model'!BO24</f>
        <v>7.9628943391092416E-2</v>
      </c>
      <c r="AB92" s="247">
        <f>'ASM &amp; Model'!BP24</f>
        <v>0.1103957355425345</v>
      </c>
      <c r="AC92" s="247">
        <f>'ASM &amp; Model'!BQ24</f>
        <v>0.1350953569239981</v>
      </c>
      <c r="AD92" s="247">
        <f>'ASM &amp; Model'!BR24</f>
        <v>0.14650247137179007</v>
      </c>
      <c r="AE92" s="247">
        <f>'ASM &amp; Model'!BS24</f>
        <v>0.15807961729023462</v>
      </c>
      <c r="AF92" s="247">
        <f>'ASM &amp; Model'!BT24</f>
        <v>0.16980560092724367</v>
      </c>
      <c r="AG92" s="247">
        <f>'ASM &amp; Model'!BU24</f>
        <v>0.18161563895840627</v>
      </c>
      <c r="AH92" s="247">
        <f>'ASM &amp; Model'!BV24</f>
        <v>0.19369943923111754</v>
      </c>
    </row>
    <row r="93" spans="2:34" x14ac:dyDescent="0.4">
      <c r="S93" s="103" t="s">
        <v>253</v>
      </c>
      <c r="U93" s="247">
        <f>'ASM &amp; Model'!BI27</f>
        <v>-0.19666830213259118</v>
      </c>
      <c r="V93" s="247">
        <f>'ASM &amp; Model'!BJ27</f>
        <v>-5.1595910743294372E-2</v>
      </c>
      <c r="W93" s="247">
        <f>'ASM &amp; Model'!BK27</f>
        <v>-3.896955374885594E-2</v>
      </c>
      <c r="X93" s="247">
        <f>'ASM &amp; Model'!BL27</f>
        <v>-2.346872603284467E-2</v>
      </c>
      <c r="Y93" s="247">
        <f>'ASM &amp; Model'!BM27</f>
        <v>1.7155401220710874E-2</v>
      </c>
      <c r="Z93" s="247">
        <f>'ASM &amp; Model'!BN27</f>
        <v>5.1846896943722583E-2</v>
      </c>
      <c r="AA93" s="247">
        <f>'ASM &amp; Model'!BO27</f>
        <v>8.2105571149256582E-2</v>
      </c>
      <c r="AB93" s="247">
        <f>'ASM &amp; Model'!BP27</f>
        <v>0.11278518781474832</v>
      </c>
      <c r="AC93" s="247">
        <f>'ASM &amp; Model'!BQ27</f>
        <v>0.1374110162224281</v>
      </c>
      <c r="AD93" s="247">
        <f>'ASM &amp; Model'!BR27</f>
        <v>0.14877440772695977</v>
      </c>
      <c r="AE93" s="247">
        <f>'ASM &amp; Model'!BS27</f>
        <v>0.16030735771697996</v>
      </c>
      <c r="AF93" s="247">
        <f>'ASM &amp; Model'!BT27</f>
        <v>0.1719887319320634</v>
      </c>
      <c r="AG93" s="247">
        <f>'ASM &amp; Model'!BU27</f>
        <v>0.18375392696841961</v>
      </c>
      <c r="AH93" s="247">
        <f>'ASM &amp; Model'!BV27</f>
        <v>0.19579212662096987</v>
      </c>
    </row>
    <row r="130" spans="2:34" ht="23.15" x14ac:dyDescent="0.6">
      <c r="B130" s="251" t="s">
        <v>255</v>
      </c>
      <c r="C130" s="250"/>
      <c r="D130" s="250"/>
      <c r="E130" s="250"/>
      <c r="F130" s="250"/>
      <c r="G130" s="250"/>
      <c r="H130" s="250"/>
      <c r="I130" s="250"/>
      <c r="J130" s="250"/>
      <c r="K130" s="250"/>
      <c r="L130" s="250"/>
      <c r="M130" s="250"/>
      <c r="N130" s="250"/>
      <c r="O130" s="250"/>
      <c r="P130" s="250"/>
      <c r="Q130" s="250"/>
      <c r="R130" s="250"/>
      <c r="S130" s="250"/>
      <c r="T130" s="250"/>
      <c r="U130" s="250"/>
      <c r="V130" s="250"/>
      <c r="W130" s="250"/>
      <c r="X130" s="250"/>
      <c r="Y130" s="250"/>
      <c r="Z130" s="250"/>
      <c r="AA130" s="250"/>
      <c r="AB130" s="250"/>
      <c r="AC130" s="250"/>
      <c r="AD130" s="250"/>
      <c r="AE130" s="250"/>
      <c r="AF130" s="250"/>
      <c r="AG130" s="250"/>
      <c r="AH130" s="250"/>
    </row>
    <row r="133" spans="2:34" x14ac:dyDescent="0.4">
      <c r="T133" s="315" t="s">
        <v>191</v>
      </c>
      <c r="U133" s="315" t="s">
        <v>192</v>
      </c>
      <c r="V133" s="315" t="s">
        <v>193</v>
      </c>
      <c r="W133" s="315" t="s">
        <v>194</v>
      </c>
      <c r="X133" s="315" t="s">
        <v>195</v>
      </c>
      <c r="Y133" s="315" t="s">
        <v>196</v>
      </c>
      <c r="Z133" s="315" t="s">
        <v>197</v>
      </c>
      <c r="AA133" s="315" t="s">
        <v>198</v>
      </c>
      <c r="AB133" s="315" t="s">
        <v>199</v>
      </c>
      <c r="AC133" s="315" t="s">
        <v>200</v>
      </c>
      <c r="AD133" s="315" t="s">
        <v>201</v>
      </c>
      <c r="AE133" s="315" t="s">
        <v>202</v>
      </c>
    </row>
    <row r="134" spans="2:34" x14ac:dyDescent="0.4">
      <c r="S134" s="103" t="s">
        <v>130</v>
      </c>
      <c r="T134" s="254">
        <f>'ASM &amp; Model'!BK75</f>
        <v>-282024.13434999995</v>
      </c>
      <c r="U134" s="254">
        <f>'ASM &amp; Model'!BL75</f>
        <v>-426159.87685500004</v>
      </c>
      <c r="V134" s="254">
        <f>'ASM &amp; Model'!BM75</f>
        <v>-430575.30873499997</v>
      </c>
      <c r="W134" s="254">
        <f>'ASM &amp; Model'!BN75</f>
        <v>-328309.36445187475</v>
      </c>
      <c r="X134" s="254">
        <f>'ASM &amp; Model'!BO75</f>
        <v>-27047.193634999712</v>
      </c>
      <c r="Y134" s="254">
        <f>'ASM &amp; Model'!BP75</f>
        <v>236878.35193562572</v>
      </c>
      <c r="Z134" s="254">
        <f>'ASM &amp; Model'!BQ75</f>
        <v>413665.63480406353</v>
      </c>
      <c r="AA134" s="254">
        <f>'ASM &amp; Model'!BR75</f>
        <v>704936.52428937552</v>
      </c>
      <c r="AB134" s="254">
        <f>'ASM &amp; Model'!BS75</f>
        <v>860339.57682562573</v>
      </c>
      <c r="AC134" s="254">
        <f>'ASM &amp; Model'!BT75</f>
        <v>1252196.3247093761</v>
      </c>
      <c r="AD134" s="254">
        <f>'ASM &amp; Model'!BU75</f>
        <v>1439130.3192106262</v>
      </c>
      <c r="AE134" s="254">
        <f>'ASM &amp; Model'!BV75</f>
        <v>1777240.9145750017</v>
      </c>
    </row>
    <row r="136" spans="2:34" x14ac:dyDescent="0.4">
      <c r="S136" s="103" t="s">
        <v>256</v>
      </c>
      <c r="T136" s="254">
        <f>'ASM &amp; Model'!BK77</f>
        <v>1620376.8656499998</v>
      </c>
      <c r="U136" s="254">
        <f>'ASM &amp; Model'!BL77</f>
        <v>1194216.9887949997</v>
      </c>
      <c r="V136" s="254">
        <f>'ASM &amp; Model'!BM77</f>
        <v>763641.68005999981</v>
      </c>
      <c r="W136" s="254">
        <f>'ASM &amp; Model'!BN77</f>
        <v>435332.31560812506</v>
      </c>
      <c r="X136" s="254">
        <f>'ASM &amp; Model'!BO77</f>
        <v>408285.12197312532</v>
      </c>
      <c r="Y136" s="254">
        <f>'ASM &amp; Model'!BP77</f>
        <v>645163.47390875104</v>
      </c>
      <c r="Z136" s="254">
        <f>'ASM &amp; Model'!BQ77</f>
        <v>1058829.1087128143</v>
      </c>
      <c r="AA136" s="254">
        <f>'ASM &amp; Model'!BR77</f>
        <v>1763765.6330021897</v>
      </c>
      <c r="AB136" s="254">
        <f>'ASM &amp; Model'!BS77</f>
        <v>2624105.2098278156</v>
      </c>
      <c r="AC136" s="254">
        <f>'ASM &amp; Model'!BT77</f>
        <v>3876301.5345371915</v>
      </c>
      <c r="AD136" s="254">
        <f>'ASM &amp; Model'!BU77</f>
        <v>5315431.8537478168</v>
      </c>
      <c r="AE136" s="254">
        <f>'ASM &amp; Model'!BV77</f>
        <v>7092672.7683228189</v>
      </c>
    </row>
  </sheetData>
  <phoneticPr fontId="2" type="noConversion"/>
  <hyperlinks>
    <hyperlink ref="B3" r:id="rId1" xr:uid="{A18B4A83-E9E3-4DBC-BDBB-76BB780219B5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925BD-010E-42A8-8178-F015D0CADDF6}">
  <dimension ref="B1:R98"/>
  <sheetViews>
    <sheetView showGridLines="0" tabSelected="1" zoomScale="85" zoomScaleNormal="85" workbookViewId="0">
      <pane xSplit="2" ySplit="5" topLeftCell="C41" activePane="bottomRight" state="frozen"/>
      <selection pane="topRight" activeCell="C1" sqref="C1"/>
      <selection pane="bottomLeft" activeCell="A4" sqref="A4"/>
      <selection pane="bottomRight" activeCell="S12" sqref="S12"/>
    </sheetView>
  </sheetViews>
  <sheetFormatPr defaultRowHeight="19.850000000000001" customHeight="1" x14ac:dyDescent="0.4"/>
  <cols>
    <col min="1" max="1" width="8.6640625" style="1"/>
    <col min="2" max="2" width="41.6640625" style="1" bestFit="1" customWidth="1"/>
    <col min="3" max="3" width="28.08203125" style="1" bestFit="1" customWidth="1"/>
    <col min="4" max="4" width="16" style="1" bestFit="1" customWidth="1"/>
    <col min="5" max="5" width="18.58203125" style="1" bestFit="1" customWidth="1"/>
    <col min="6" max="6" width="21.58203125" style="1" bestFit="1" customWidth="1"/>
    <col min="7" max="8" width="11.33203125" style="1" bestFit="1" customWidth="1"/>
    <col min="9" max="11" width="11.58203125" style="1" bestFit="1" customWidth="1"/>
    <col min="12" max="12" width="11.6640625" style="1" bestFit="1" customWidth="1"/>
    <col min="13" max="16" width="12.9140625" style="1" bestFit="1" customWidth="1"/>
    <col min="17" max="16384" width="8.6640625" style="1"/>
  </cols>
  <sheetData>
    <row r="1" spans="2:18" ht="30.9" customHeight="1" x14ac:dyDescent="0.4">
      <c r="B1" s="320" t="s">
        <v>258</v>
      </c>
    </row>
    <row r="2" spans="2:18" ht="10.75" customHeight="1" x14ac:dyDescent="0.4"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</row>
    <row r="3" spans="2:18" ht="19.850000000000001" customHeight="1" x14ac:dyDescent="0.4">
      <c r="B3" s="131" t="s">
        <v>76</v>
      </c>
    </row>
    <row r="4" spans="2:18" ht="19.850000000000001" customHeight="1" x14ac:dyDescent="0.4">
      <c r="B4" s="19" t="s">
        <v>249</v>
      </c>
      <c r="C4" s="19">
        <f>'ASM &amp; Model'!BI5</f>
        <v>2017</v>
      </c>
      <c r="D4" s="19">
        <f>'ASM &amp; Model'!BJ5</f>
        <v>2018</v>
      </c>
      <c r="E4" s="19">
        <f>'ASM &amp; Model'!BK5</f>
        <v>2019</v>
      </c>
      <c r="F4" s="19">
        <f>'ASM &amp; Model'!BL5</f>
        <v>2020</v>
      </c>
      <c r="G4" s="19">
        <f>'ASM &amp; Model'!BM5</f>
        <v>2021</v>
      </c>
      <c r="H4" s="19">
        <f>'ASM &amp; Model'!BN5</f>
        <v>2022</v>
      </c>
      <c r="I4" s="19">
        <f>'ASM &amp; Model'!BO5</f>
        <v>2023</v>
      </c>
      <c r="J4" s="19">
        <f>'ASM &amp; Model'!BP5</f>
        <v>2024</v>
      </c>
      <c r="K4" s="19">
        <f>'ASM &amp; Model'!BQ5</f>
        <v>2025</v>
      </c>
      <c r="L4" s="19">
        <f>'ASM &amp; Model'!BR5</f>
        <v>2026</v>
      </c>
      <c r="M4" s="19">
        <f>'ASM &amp; Model'!BS5</f>
        <v>2027</v>
      </c>
      <c r="N4" s="19">
        <f>'ASM &amp; Model'!BT5</f>
        <v>2028</v>
      </c>
      <c r="O4" s="19">
        <f>'ASM &amp; Model'!BU5</f>
        <v>2029</v>
      </c>
      <c r="P4" s="19">
        <f>'ASM &amp; Model'!BV5</f>
        <v>2030</v>
      </c>
    </row>
    <row r="5" spans="2:18" ht="4.75" customHeight="1" x14ac:dyDescent="0.4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2:18" ht="19.850000000000001" customHeight="1" x14ac:dyDescent="0.4">
      <c r="B6" s="8" t="str">
        <f>'ASM &amp; Model'!BH7</f>
        <v>Revenue</v>
      </c>
      <c r="C6" s="178">
        <f>'ASM &amp; Model'!BI7</f>
        <v>472852</v>
      </c>
      <c r="D6" s="178">
        <f>'ASM &amp; Model'!BJ7</f>
        <v>755932</v>
      </c>
      <c r="E6" s="178">
        <f>'ASM &amp; Model'!BK7</f>
        <v>1212770</v>
      </c>
      <c r="F6" s="178">
        <f>'ASM &amp; Model'!BL7</f>
        <v>1860880</v>
      </c>
      <c r="G6" s="178">
        <f>'ASM &amp; Model'!BM7</f>
        <v>2741845</v>
      </c>
      <c r="H6" s="178">
        <f>'ASM &amp; Model'!BN7</f>
        <v>3810272.5</v>
      </c>
      <c r="I6" s="178">
        <f>'ASM &amp; Model'!BO7</f>
        <v>5053180</v>
      </c>
      <c r="J6" s="178">
        <f>'ASM &amp; Model'!BP7</f>
        <v>6429247.5</v>
      </c>
      <c r="K6" s="178">
        <f>'ASM &amp; Model'!BQ7</f>
        <v>7888307.5</v>
      </c>
      <c r="L6" s="178">
        <f>'ASM &amp; Model'!BR7</f>
        <v>9413922.5</v>
      </c>
      <c r="M6" s="178">
        <f>'ASM &amp; Model'!BS7</f>
        <v>10967665</v>
      </c>
      <c r="N6" s="178">
        <f>'ASM &amp; Model'!BT7</f>
        <v>12534462.5</v>
      </c>
      <c r="O6" s="178">
        <f>'ASM &amp; Model'!BU7</f>
        <v>14115195</v>
      </c>
      <c r="P6" s="178">
        <f>'ASM &amp; Model'!BV7</f>
        <v>15327437.5</v>
      </c>
      <c r="R6" s="1" t="s">
        <v>7</v>
      </c>
    </row>
    <row r="7" spans="2:18" ht="19.850000000000001" customHeight="1" x14ac:dyDescent="0.4">
      <c r="B7" s="7" t="str">
        <f>'ASM &amp; Model'!BH9</f>
        <v>YoY (%)</v>
      </c>
      <c r="D7" s="5">
        <f>'ASM &amp; Model'!BJ9</f>
        <v>0.59866512143334494</v>
      </c>
      <c r="E7" s="5">
        <f>'ASM &amp; Model'!BK9</f>
        <v>0.60433742717598937</v>
      </c>
      <c r="F7" s="5">
        <f>'ASM &amp; Model'!BL9</f>
        <v>0.53440470987903721</v>
      </c>
      <c r="G7" s="5">
        <f>'ASM &amp; Model'!BM9</f>
        <v>0.47341311637504835</v>
      </c>
      <c r="H7" s="5">
        <f>'ASM &amp; Model'!BN9</f>
        <v>0.38967465338120855</v>
      </c>
      <c r="I7" s="5">
        <f>'ASM &amp; Model'!BO9</f>
        <v>0.32619911043107819</v>
      </c>
      <c r="J7" s="5">
        <f>'ASM &amp; Model'!BP9</f>
        <v>0.27231713495264365</v>
      </c>
      <c r="K7" s="5">
        <f>'ASM &amp; Model'!BQ9</f>
        <v>0.22694102225804813</v>
      </c>
      <c r="L7" s="5">
        <f>'ASM &amp; Model'!BR9</f>
        <v>0.19340207008917942</v>
      </c>
      <c r="M7" s="5">
        <f>'ASM &amp; Model'!BS9</f>
        <v>0.16504730095239251</v>
      </c>
      <c r="N7" s="5">
        <f>'ASM &amp; Model'!BT9</f>
        <v>0.14285606826977304</v>
      </c>
      <c r="O7" s="5">
        <f>'ASM &amp; Model'!BU9</f>
        <v>0.12611091221502324</v>
      </c>
      <c r="P7" s="5">
        <f>'ASM &amp; Model'!BV9</f>
        <v>8.5882093729487963E-2</v>
      </c>
      <c r="R7" s="1" t="s">
        <v>7</v>
      </c>
    </row>
    <row r="8" spans="2:18" ht="19.850000000000001" customHeight="1" x14ac:dyDescent="0.4">
      <c r="B8" s="6" t="str">
        <f>'ASM &amp; Model'!BH10</f>
        <v>Cost of Revenue</v>
      </c>
      <c r="C8" s="85">
        <f>'ASM &amp; Model'!BI10</f>
        <v>178664</v>
      </c>
      <c r="D8" s="85">
        <f>'ASM &amp; Model'!BJ10</f>
        <v>241584</v>
      </c>
      <c r="E8" s="85">
        <f>'ASM &amp; Model'!BK10</f>
        <v>401533.03834174015</v>
      </c>
      <c r="F8" s="85">
        <f>'ASM &amp; Model'!BL10</f>
        <v>594740.57668348029</v>
      </c>
      <c r="G8" s="85">
        <f>'ASM &amp; Model'!BM10</f>
        <v>849710.37668348034</v>
      </c>
      <c r="H8" s="85">
        <f>'ASM &amp; Model'!BN10</f>
        <v>1144170.7516834801</v>
      </c>
      <c r="I8" s="85">
        <f>'ASM &amp; Model'!BO10</f>
        <v>1463250.0999999999</v>
      </c>
      <c r="J8" s="85">
        <f>'ASM &amp; Model'!BP10</f>
        <v>1800846.4749999996</v>
      </c>
      <c r="K8" s="85">
        <f>'ASM &amp; Model'!BQ10</f>
        <v>2133499.2499999995</v>
      </c>
      <c r="L8" s="85">
        <f>'ASM &amp; Model'!BR10</f>
        <v>2548590.375</v>
      </c>
      <c r="M8" s="85">
        <f>'ASM &amp; Model'!BS10</f>
        <v>2971338.6250000005</v>
      </c>
      <c r="N8" s="85">
        <f>'ASM &amp; Model'!BT10</f>
        <v>3397460.3750000009</v>
      </c>
      <c r="O8" s="85">
        <f>'ASM &amp; Model'!BU10</f>
        <v>3827287.1250000009</v>
      </c>
      <c r="P8" s="85">
        <f>'ASM &amp; Model'!BV10</f>
        <v>4155762.625</v>
      </c>
      <c r="R8" s="1" t="s">
        <v>7</v>
      </c>
    </row>
    <row r="9" spans="2:18" ht="19.850000000000001" customHeight="1" x14ac:dyDescent="0.4">
      <c r="B9" s="13" t="str">
        <f>'ASM &amp; Model'!BH11</f>
        <v>Gross Profit</v>
      </c>
      <c r="C9" s="178">
        <f>'ASM &amp; Model'!BI11</f>
        <v>294188</v>
      </c>
      <c r="D9" s="178">
        <f>'ASM &amp; Model'!BJ11</f>
        <v>514348</v>
      </c>
      <c r="E9" s="178">
        <f>'ASM &amp; Model'!BK11</f>
        <v>811236.96165825985</v>
      </c>
      <c r="F9" s="178">
        <f>'ASM &amp; Model'!BL11</f>
        <v>1266139.4233165197</v>
      </c>
      <c r="G9" s="178">
        <f>'ASM &amp; Model'!BM11</f>
        <v>1892134.6233165197</v>
      </c>
      <c r="H9" s="178">
        <f>'ASM &amp; Model'!BN11</f>
        <v>2666101.7483165199</v>
      </c>
      <c r="I9" s="178">
        <f>'ASM &amp; Model'!BO11</f>
        <v>3589929.9000000004</v>
      </c>
      <c r="J9" s="178">
        <f>'ASM &amp; Model'!BP11</f>
        <v>4628401.0250000004</v>
      </c>
      <c r="K9" s="178">
        <f>'ASM &amp; Model'!BQ11</f>
        <v>5754808.25</v>
      </c>
      <c r="L9" s="178">
        <f>'ASM &amp; Model'!BR11</f>
        <v>6865332.125</v>
      </c>
      <c r="M9" s="178">
        <f>'ASM &amp; Model'!BS11</f>
        <v>7996326.375</v>
      </c>
      <c r="N9" s="178">
        <f>'ASM &amp; Model'!BT11</f>
        <v>9137002.125</v>
      </c>
      <c r="O9" s="178">
        <f>'ASM &amp; Model'!BU11</f>
        <v>10287907.875</v>
      </c>
      <c r="P9" s="178">
        <f>'ASM &amp; Model'!BV11</f>
        <v>11171674.875</v>
      </c>
      <c r="R9" s="1" t="s">
        <v>7</v>
      </c>
    </row>
    <row r="10" spans="2:18" ht="19.850000000000001" customHeight="1" x14ac:dyDescent="0.4">
      <c r="B10" s="7" t="str">
        <f>'ASM &amp; Model'!BH12</f>
        <v>Gross Margin (%)</v>
      </c>
      <c r="C10" s="5">
        <f>'ASM &amp; Model'!BI12</f>
        <v>0.62215661560065305</v>
      </c>
      <c r="D10" s="5">
        <f>'ASM &amp; Model'!BJ12</f>
        <v>0.68041569876655572</v>
      </c>
      <c r="E10" s="5">
        <f>'ASM &amp; Model'!BK12</f>
        <v>0.66891245797493326</v>
      </c>
      <c r="F10" s="5">
        <f>'ASM &amp; Model'!BL12</f>
        <v>0.68039821123152466</v>
      </c>
      <c r="G10" s="5">
        <f>'ASM &amp; Model'!BM12</f>
        <v>0.69009540047541695</v>
      </c>
      <c r="H10" s="5">
        <f>'ASM &amp; Model'!BN12</f>
        <v>0.69971419322804862</v>
      </c>
      <c r="I10" s="5">
        <f>'ASM &amp; Model'!BO12</f>
        <v>0.71042984813523369</v>
      </c>
      <c r="J10" s="5">
        <f>'ASM &amp; Model'!BP12</f>
        <v>0.71989778352754352</v>
      </c>
      <c r="K10" s="5">
        <f>'ASM &amp; Model'!BQ12</f>
        <v>0.7295365007005622</v>
      </c>
      <c r="L10" s="5">
        <f>'ASM &amp; Model'!BR12</f>
        <v>0.72927434074372288</v>
      </c>
      <c r="M10" s="5">
        <f>'ASM &amp; Model'!BS12</f>
        <v>0.72908193083942663</v>
      </c>
      <c r="N10" s="5">
        <f>'ASM &amp; Model'!BT12</f>
        <v>0.72895045359942634</v>
      </c>
      <c r="O10" s="5">
        <f>'ASM &amp; Model'!BU12</f>
        <v>0.72885340053750591</v>
      </c>
      <c r="P10" s="5">
        <f>'ASM &amp; Model'!BV12</f>
        <v>0.72886774941995358</v>
      </c>
      <c r="R10" s="1" t="s">
        <v>7</v>
      </c>
    </row>
    <row r="11" spans="2:18" ht="19.850000000000001" customHeight="1" x14ac:dyDescent="0.4">
      <c r="B11" s="3"/>
      <c r="R11" s="1" t="s">
        <v>7</v>
      </c>
    </row>
    <row r="12" spans="2:18" ht="19.850000000000001" customHeight="1" x14ac:dyDescent="0.4">
      <c r="B12" s="1" t="str">
        <f>'ASM &amp; Model'!BH14</f>
        <v>Research &amp; Development Exp.</v>
      </c>
      <c r="C12" s="84">
        <f>'ASM &amp; Model'!BI14</f>
        <v>207973</v>
      </c>
      <c r="D12" s="84">
        <f>'ASM &amp; Model'!BJ14</f>
        <v>251662</v>
      </c>
      <c r="E12" s="84">
        <f>'ASM &amp; Model'!BK14</f>
        <v>1167942.3757801335</v>
      </c>
      <c r="F12" s="84">
        <f>'ASM &amp; Model'!BL14</f>
        <v>699185.65319026704</v>
      </c>
      <c r="G12" s="84">
        <f>'ASM &amp; Model'!BM14</f>
        <v>922319.67063026701</v>
      </c>
      <c r="H12" s="84">
        <f>'ASM &amp; Model'!BN14</f>
        <v>1193069.7642302671</v>
      </c>
      <c r="I12" s="84">
        <f>'ASM &amp; Model'!BO14</f>
        <v>1353415.9472399999</v>
      </c>
      <c r="J12" s="84">
        <f>'ASM &amp; Model'!BP14</f>
        <v>1659913.6874199999</v>
      </c>
      <c r="K12" s="84">
        <f>'ASM &amp; Model'!BQ14</f>
        <v>1971130.0808549998</v>
      </c>
      <c r="L12" s="84">
        <f>'ASM &amp; Model'!BR14</f>
        <v>2306761.2786362497</v>
      </c>
      <c r="M12" s="84">
        <f>'ASM &amp; Model'!BS14</f>
        <v>2633793.6961487494</v>
      </c>
      <c r="N12" s="84">
        <f>'ASM &amp; Model'!BT14</f>
        <v>2948107.0153312497</v>
      </c>
      <c r="O12" s="84">
        <f>'ASM &amp; Model'!BU14</f>
        <v>3249776.6495437492</v>
      </c>
      <c r="P12" s="84">
        <f>'ASM &amp; Model'!BV14</f>
        <v>3451442.3586437497</v>
      </c>
      <c r="R12" s="1" t="s">
        <v>7</v>
      </c>
    </row>
    <row r="13" spans="2:18" ht="19.850000000000001" customHeight="1" x14ac:dyDescent="0.4">
      <c r="B13" s="7" t="str">
        <f>'ASM &amp; Model'!BH15</f>
        <v>R&amp;D Exp. Ratio (%)</v>
      </c>
      <c r="C13" s="73">
        <f>'ASM &amp; Model'!BI15</f>
        <v>0.43982683799582112</v>
      </c>
      <c r="D13" s="73">
        <f>'ASM &amp; Model'!BJ15</f>
        <v>0.33291618822857083</v>
      </c>
      <c r="E13" s="73">
        <f>'ASM &amp; Model'!BK15</f>
        <v>0.96303699446732149</v>
      </c>
      <c r="F13" s="73">
        <f>'ASM &amp; Model'!BL15</f>
        <v>0.37572850113401562</v>
      </c>
      <c r="G13" s="73">
        <f>'ASM &amp; Model'!BM15</f>
        <v>0.33638651004351705</v>
      </c>
      <c r="H13" s="73">
        <f>'ASM &amp; Model'!BN15</f>
        <v>0.31311927538785406</v>
      </c>
      <c r="I13" s="73">
        <f>'ASM &amp; Model'!BO15</f>
        <v>0.2678345016880459</v>
      </c>
      <c r="J13" s="73">
        <f>'ASM &amp; Model'!BP15</f>
        <v>0.25818164371802454</v>
      </c>
      <c r="K13" s="73">
        <f>'ASM &amp; Model'!BQ15</f>
        <v>0.24987997499526987</v>
      </c>
      <c r="L13" s="73">
        <f>'ASM &amp; Model'!BR15</f>
        <v>0.24503720724663389</v>
      </c>
      <c r="M13" s="73">
        <f>'ASM &amp; Model'!BS15</f>
        <v>0.24014169799576751</v>
      </c>
      <c r="N13" s="73">
        <f>'ASM &amp; Model'!BT15</f>
        <v>0.23520011451079373</v>
      </c>
      <c r="O13" s="73">
        <f>'ASM &amp; Model'!BU15</f>
        <v>0.23023250118356489</v>
      </c>
      <c r="P13" s="73">
        <f>'ASM &amp; Model'!BV15</f>
        <v>0.22518065127610207</v>
      </c>
      <c r="R13" s="1" t="s">
        <v>7</v>
      </c>
    </row>
    <row r="14" spans="2:18" ht="19.850000000000001" customHeight="1" x14ac:dyDescent="0.4">
      <c r="B14" s="1" t="str">
        <f>'ASM &amp; Model'!BH16</f>
        <v>Sales &amp; Marketing Exp.</v>
      </c>
      <c r="C14" s="84">
        <f>'ASM &amp; Model'!BI16</f>
        <v>162514</v>
      </c>
      <c r="D14" s="84">
        <f>'ASM &amp; Model'!BJ16</f>
        <v>259929</v>
      </c>
      <c r="E14" s="84">
        <f>'ASM &amp; Model'!BK16</f>
        <v>629926.4783277869</v>
      </c>
      <c r="F14" s="84">
        <f>'ASM &amp; Model'!BL16</f>
        <v>659432.82503057388</v>
      </c>
      <c r="G14" s="84">
        <f>'ASM &amp; Model'!BM16</f>
        <v>913795.26769307384</v>
      </c>
      <c r="H14" s="84">
        <f>'ASM &amp; Model'!BN16</f>
        <v>1199355.9766930738</v>
      </c>
      <c r="I14" s="84">
        <f>'ASM &amp; Model'!BO16</f>
        <v>1490346.8510249997</v>
      </c>
      <c r="J14" s="84">
        <f>'ASM &amp; Model'!BP16</f>
        <v>1833580.4570624996</v>
      </c>
      <c r="K14" s="84">
        <f>'ASM &amp; Model'!BQ16</f>
        <v>2211659.4896062491</v>
      </c>
      <c r="L14" s="84">
        <f>'ASM &amp; Model'!BR16</f>
        <v>2593540.459668749</v>
      </c>
      <c r="M14" s="84">
        <f>'ASM &amp; Model'!BS16</f>
        <v>2967787.239543749</v>
      </c>
      <c r="N14" s="84">
        <f>'ASM &amp; Model'!BT16</f>
        <v>3329874.4176562489</v>
      </c>
      <c r="O14" s="84">
        <f>'ASM &amp; Model'!BU16</f>
        <v>3679881.9589687493</v>
      </c>
      <c r="P14" s="84">
        <f>'ASM &amp; Model'!BV16</f>
        <v>3919132.3994062487</v>
      </c>
      <c r="R14" s="1" t="s">
        <v>7</v>
      </c>
    </row>
    <row r="15" spans="2:18" ht="19.850000000000001" customHeight="1" x14ac:dyDescent="0.4">
      <c r="B15" s="7" t="str">
        <f>'ASM &amp; Model'!BH17</f>
        <v>S&amp;M Exp. Ratio (%)</v>
      </c>
      <c r="C15" s="73">
        <f>'ASM &amp; Model'!BI17</f>
        <v>0.34368893438115944</v>
      </c>
      <c r="D15" s="73">
        <f>'ASM &amp; Model'!BJ17</f>
        <v>0.3438523570903203</v>
      </c>
      <c r="E15" s="73">
        <f>'ASM &amp; Model'!BK17</f>
        <v>0.51941132970619897</v>
      </c>
      <c r="F15" s="73">
        <f>'ASM &amp; Model'!BL17</f>
        <v>0.35436611980921601</v>
      </c>
      <c r="G15" s="73">
        <f>'ASM &amp; Model'!BM17</f>
        <v>0.33327750755169377</v>
      </c>
      <c r="H15" s="73">
        <f>'ASM &amp; Model'!BN17</f>
        <v>0.31476908192080061</v>
      </c>
      <c r="I15" s="73">
        <f>'ASM &amp; Model'!BO17</f>
        <v>0.29493246847034932</v>
      </c>
      <c r="J15" s="73">
        <f>'ASM &amp; Model'!BP17</f>
        <v>0.28519363379034635</v>
      </c>
      <c r="K15" s="73">
        <f>'ASM &amp; Model'!BQ17</f>
        <v>0.28037186552454363</v>
      </c>
      <c r="L15" s="73">
        <f>'ASM &amp; Model'!BR17</f>
        <v>0.27550051104295248</v>
      </c>
      <c r="M15" s="73">
        <f>'ASM &amp; Model'!BS17</f>
        <v>0.27059426409757675</v>
      </c>
      <c r="N15" s="73">
        <f>'ASM &amp; Model'!BT17</f>
        <v>0.26565753558688687</v>
      </c>
      <c r="O15" s="73">
        <f>'ASM &amp; Model'!BU17</f>
        <v>0.26070358638111263</v>
      </c>
      <c r="P15" s="73">
        <f>'ASM &amp; Model'!BV17</f>
        <v>0.25569390835266814</v>
      </c>
      <c r="R15" s="1" t="s">
        <v>7</v>
      </c>
    </row>
    <row r="16" spans="2:18" ht="19.850000000000001" customHeight="1" x14ac:dyDescent="0.4">
      <c r="B16" s="1" t="str">
        <f>'ASM &amp; Model'!BH18</f>
        <v>General &amp; Administrative Exp.</v>
      </c>
      <c r="C16" s="84">
        <f>'ASM &amp; Model'!BI18</f>
        <v>61635</v>
      </c>
      <c r="D16" s="84">
        <f>'ASM &amp; Model'!BJ18</f>
        <v>77478</v>
      </c>
      <c r="E16" s="84">
        <f>'ASM &amp; Model'!BK18</f>
        <v>337802.34190033941</v>
      </c>
      <c r="F16" s="84">
        <f>'ASM &amp; Model'!BL18</f>
        <v>220704.86015067884</v>
      </c>
      <c r="G16" s="84">
        <f>'ASM &amp; Model'!BM18</f>
        <v>302592.52601067885</v>
      </c>
      <c r="H16" s="84">
        <f>'ASM &amp; Model'!BN18</f>
        <v>398946.1333606788</v>
      </c>
      <c r="I16" s="84">
        <f>'ASM &amp; Model'!BO18</f>
        <v>470117.21756999998</v>
      </c>
      <c r="J16" s="84">
        <f>'ASM &amp; Model'!BP18</f>
        <v>585876.56126999995</v>
      </c>
      <c r="K16" s="84">
        <f>'ASM &amp; Model'!BQ18</f>
        <v>703552.6497999999</v>
      </c>
      <c r="L16" s="84">
        <f>'ASM &amp; Model'!BR18</f>
        <v>821215.5376424999</v>
      </c>
      <c r="M16" s="84">
        <f>'ASM &amp; Model'!BS18</f>
        <v>935172.77853999997</v>
      </c>
      <c r="N16" s="84">
        <f>'ASM &amp; Model'!BT18</f>
        <v>1043960.3173999998</v>
      </c>
      <c r="O16" s="84">
        <f>'ASM &amp; Model'!BU18</f>
        <v>1147588.9825399998</v>
      </c>
      <c r="P16" s="84">
        <f>'ASM &amp; Model'!BV18</f>
        <v>1215370.0058499998</v>
      </c>
      <c r="R16" s="1" t="s">
        <v>7</v>
      </c>
    </row>
    <row r="17" spans="2:18" ht="19.850000000000001" customHeight="1" x14ac:dyDescent="0.4">
      <c r="B17" s="15" t="str">
        <f>'ASM &amp; Model'!BH19</f>
        <v>G&amp;A Exp. Ratio</v>
      </c>
      <c r="C17" s="86">
        <f>'ASM &amp; Model'!BI19</f>
        <v>0.13034733912513852</v>
      </c>
      <c r="D17" s="86">
        <f>'ASM &amp; Model'!BJ19</f>
        <v>0.10249334596233524</v>
      </c>
      <c r="E17" s="86">
        <f>'ASM &amp; Model'!BK19</f>
        <v>0.27853784468641163</v>
      </c>
      <c r="F17" s="86">
        <f>'ASM &amp; Model'!BL19</f>
        <v>0.11860241399266951</v>
      </c>
      <c r="G17" s="86">
        <f>'ASM &amp; Model'!BM19</f>
        <v>0.11036091610236132</v>
      </c>
      <c r="H17" s="86">
        <f>'ASM &amp; Model'!BN19</f>
        <v>0.10470278263842778</v>
      </c>
      <c r="I17" s="86">
        <f>'ASM &amp; Model'!BO19</f>
        <v>9.3033934585746006E-2</v>
      </c>
      <c r="J17" s="86">
        <f>'ASM &amp; Model'!BP19</f>
        <v>9.1126770476638197E-2</v>
      </c>
      <c r="K17" s="86">
        <f>'ASM &amp; Model'!BQ19</f>
        <v>8.9189303256750563E-2</v>
      </c>
      <c r="L17" s="86">
        <f>'ASM &amp; Model'!BR19</f>
        <v>8.7234151082346376E-2</v>
      </c>
      <c r="M17" s="86">
        <f>'ASM &amp; Model'!BS19</f>
        <v>8.5266351455847711E-2</v>
      </c>
      <c r="N17" s="86">
        <f>'ASM &amp; Model'!BT19</f>
        <v>8.3287202574502089E-2</v>
      </c>
      <c r="O17" s="86">
        <f>'ASM &amp; Model'!BU19</f>
        <v>8.1301674014422023E-2</v>
      </c>
      <c r="P17" s="86">
        <f>'ASM &amp; Model'!BV19</f>
        <v>7.9293750560065879E-2</v>
      </c>
      <c r="R17" s="1" t="s">
        <v>7</v>
      </c>
    </row>
    <row r="18" spans="2:18" ht="19.850000000000001" customHeight="1" x14ac:dyDescent="0.4">
      <c r="B18" s="8" t="str">
        <f>'ASM &amp; Model'!BH20</f>
        <v>Operating P&amp;L</v>
      </c>
      <c r="C18" s="178">
        <f>'ASM &amp; Model'!BI20</f>
        <v>-137934</v>
      </c>
      <c r="D18" s="178">
        <f>'ASM &amp; Model'!BJ20</f>
        <v>-74721</v>
      </c>
      <c r="E18" s="178">
        <f>'ASM &amp; Model'!BK20</f>
        <v>-1324434.23435</v>
      </c>
      <c r="F18" s="178">
        <f>'ASM &amp; Model'!BL20</f>
        <v>-313183.91505499999</v>
      </c>
      <c r="G18" s="178">
        <f>'ASM &amp; Model'!BM20</f>
        <v>-246572.84101749997</v>
      </c>
      <c r="H18" s="178">
        <f>'ASM &amp; Model'!BN20</f>
        <v>-125270.12596749983</v>
      </c>
      <c r="I18" s="178">
        <f>'ASM &amp; Model'!BO20</f>
        <v>276049.8841650004</v>
      </c>
      <c r="J18" s="178">
        <f>'ASM &amp; Model'!BP20</f>
        <v>549030.3192475012</v>
      </c>
      <c r="K18" s="178">
        <f>'ASM &amp; Model'!BQ20</f>
        <v>868466.02973875124</v>
      </c>
      <c r="L18" s="178">
        <f>'ASM &amp; Model'!BR20</f>
        <v>1143814.8490525004</v>
      </c>
      <c r="M18" s="178">
        <f>'ASM &amp; Model'!BS20</f>
        <v>1459572.6607675012</v>
      </c>
      <c r="N18" s="178">
        <f>'ASM &amp; Model'!BT20</f>
        <v>1815060.3746125011</v>
      </c>
      <c r="O18" s="178">
        <f>'ASM &amp; Model'!BU20</f>
        <v>2210660.2839475013</v>
      </c>
      <c r="P18" s="178">
        <f>'ASM &amp; Model'!BV20</f>
        <v>2585730.1111000022</v>
      </c>
      <c r="R18" s="1" t="s">
        <v>7</v>
      </c>
    </row>
    <row r="19" spans="2:18" ht="19.850000000000001" customHeight="1" x14ac:dyDescent="0.4">
      <c r="B19" s="7" t="str">
        <f>'ASM &amp; Model'!BH21</f>
        <v>Operating Margin (%)</v>
      </c>
      <c r="C19" s="73">
        <f>'ASM &amp; Model'!BI21</f>
        <v>-0.29170649590146602</v>
      </c>
      <c r="D19" s="73">
        <f>'ASM &amp; Model'!BJ21</f>
        <v>-9.8846192514670625E-2</v>
      </c>
      <c r="E19" s="73">
        <f>'ASM &amp; Model'!BK21</f>
        <v>-1.0920737108849989</v>
      </c>
      <c r="F19" s="73">
        <f>'ASM &amp; Model'!BL21</f>
        <v>-0.16829882370437643</v>
      </c>
      <c r="G19" s="73">
        <f>'ASM &amp; Model'!BM21</f>
        <v>-8.9929533222155147E-2</v>
      </c>
      <c r="H19" s="73">
        <f>'ASM &amp; Model'!BN21</f>
        <v>-3.287694671903383E-2</v>
      </c>
      <c r="I19" s="73">
        <f>'ASM &amp; Model'!BO21</f>
        <v>5.4628943391092422E-2</v>
      </c>
      <c r="J19" s="73">
        <f>'ASM &amp; Model'!BP21</f>
        <v>8.5395735542534518E-2</v>
      </c>
      <c r="K19" s="73">
        <f>'ASM &amp; Model'!BQ21</f>
        <v>0.11009535692399811</v>
      </c>
      <c r="L19" s="73">
        <f>'ASM &amp; Model'!BR21</f>
        <v>0.12150247137179007</v>
      </c>
      <c r="M19" s="73">
        <f>'ASM &amp; Model'!BS21</f>
        <v>0.13307961729023463</v>
      </c>
      <c r="N19" s="73">
        <f>'ASM &amp; Model'!BT21</f>
        <v>0.14480560092724368</v>
      </c>
      <c r="O19" s="73">
        <f>'ASM &amp; Model'!BU21</f>
        <v>0.15661563895840627</v>
      </c>
      <c r="P19" s="73">
        <f>'ASM &amp; Model'!BV21</f>
        <v>0.16869943923111755</v>
      </c>
      <c r="R19" s="1" t="s">
        <v>7</v>
      </c>
    </row>
    <row r="20" spans="2:18" ht="19.850000000000001" customHeight="1" x14ac:dyDescent="0.4">
      <c r="B20" s="25" t="str">
        <f>'ASM &amp; Model'!BH22</f>
        <v>+ D&amp;A Exp.</v>
      </c>
      <c r="C20" s="84">
        <f>'ASM &amp; Model'!BI22</f>
        <v>16135</v>
      </c>
      <c r="D20" s="84">
        <f>'ASM &amp; Model'!BJ22</f>
        <v>20859</v>
      </c>
      <c r="E20" s="84">
        <f>'ASM &amp; Model'!BK22</f>
        <v>30943.25</v>
      </c>
      <c r="F20" s="84">
        <f>'ASM &amp; Model'!BL22</f>
        <v>46522</v>
      </c>
      <c r="G20" s="84">
        <f>'ASM &amp; Model'!BM22</f>
        <v>68546.125</v>
      </c>
      <c r="H20" s="84">
        <f>'ASM &amp; Model'!BN22</f>
        <v>95256.8125</v>
      </c>
      <c r="I20" s="84">
        <f>'ASM &amp; Model'!BO22</f>
        <v>126329.5</v>
      </c>
      <c r="J20" s="84">
        <f>'ASM &amp; Model'!BP22</f>
        <v>160731.1875</v>
      </c>
      <c r="K20" s="84">
        <f>'ASM &amp; Model'!BQ22</f>
        <v>197207.6875</v>
      </c>
      <c r="L20" s="84">
        <f>'ASM &amp; Model'!BR22</f>
        <v>235348.0625</v>
      </c>
      <c r="M20" s="84">
        <f>'ASM &amp; Model'!BS22</f>
        <v>274191.625</v>
      </c>
      <c r="N20" s="84">
        <f>'ASM &amp; Model'!BT22</f>
        <v>313361.5625</v>
      </c>
      <c r="O20" s="84">
        <f>'ASM &amp; Model'!BU22</f>
        <v>352879.875</v>
      </c>
      <c r="P20" s="84">
        <f>'ASM &amp; Model'!BV22</f>
        <v>383185.9375</v>
      </c>
      <c r="R20" s="1" t="s">
        <v>7</v>
      </c>
    </row>
    <row r="21" spans="2:18" ht="19.850000000000001" customHeight="1" x14ac:dyDescent="0.4">
      <c r="B21" s="255" t="s">
        <v>214</v>
      </c>
      <c r="C21" s="179">
        <f>C18+C20</f>
        <v>-121799</v>
      </c>
      <c r="D21" s="179">
        <f t="shared" ref="D21:P21" si="0">D18+D20</f>
        <v>-53862</v>
      </c>
      <c r="E21" s="179">
        <f t="shared" si="0"/>
        <v>-1293490.98435</v>
      </c>
      <c r="F21" s="179">
        <f t="shared" si="0"/>
        <v>-266661.91505499999</v>
      </c>
      <c r="G21" s="179">
        <f t="shared" si="0"/>
        <v>-178026.71601749997</v>
      </c>
      <c r="H21" s="179">
        <f t="shared" si="0"/>
        <v>-30013.313467499829</v>
      </c>
      <c r="I21" s="179">
        <f t="shared" si="0"/>
        <v>402379.3841650004</v>
      </c>
      <c r="J21" s="179">
        <f t="shared" si="0"/>
        <v>709761.5067475012</v>
      </c>
      <c r="K21" s="179">
        <f t="shared" si="0"/>
        <v>1065673.7172387512</v>
      </c>
      <c r="L21" s="179">
        <f t="shared" si="0"/>
        <v>1379162.9115525004</v>
      </c>
      <c r="M21" s="179">
        <f t="shared" si="0"/>
        <v>1733764.2857675012</v>
      </c>
      <c r="N21" s="179">
        <f t="shared" si="0"/>
        <v>2128421.9371125009</v>
      </c>
      <c r="O21" s="179">
        <f t="shared" si="0"/>
        <v>2563540.1589475013</v>
      </c>
      <c r="P21" s="179">
        <f t="shared" si="0"/>
        <v>2968916.0486000022</v>
      </c>
      <c r="R21" s="1" t="s">
        <v>7</v>
      </c>
    </row>
    <row r="22" spans="2:18" ht="19.850000000000001" customHeight="1" x14ac:dyDescent="0.4">
      <c r="B22" s="256" t="s">
        <v>213</v>
      </c>
      <c r="C22" s="257">
        <f>C21/C6</f>
        <v>-0.25758376828267621</v>
      </c>
      <c r="D22" s="257">
        <f t="shared" ref="D22:P22" si="1">D21/D6</f>
        <v>-7.1252440695723951E-2</v>
      </c>
      <c r="E22" s="257">
        <f t="shared" si="1"/>
        <v>-1.0665591862842914</v>
      </c>
      <c r="F22" s="257">
        <f t="shared" si="1"/>
        <v>-0.14329882370437641</v>
      </c>
      <c r="G22" s="257">
        <f t="shared" si="1"/>
        <v>-6.4929533222155139E-2</v>
      </c>
      <c r="H22" s="257">
        <f t="shared" si="1"/>
        <v>-7.87694671903383E-3</v>
      </c>
      <c r="I22" s="257">
        <f t="shared" si="1"/>
        <v>7.9628943391092416E-2</v>
      </c>
      <c r="J22" s="257">
        <f t="shared" si="1"/>
        <v>0.11039573554253453</v>
      </c>
      <c r="K22" s="257">
        <f t="shared" si="1"/>
        <v>0.1350953569239981</v>
      </c>
      <c r="L22" s="257">
        <f t="shared" si="1"/>
        <v>0.14650247137179007</v>
      </c>
      <c r="M22" s="257">
        <f t="shared" si="1"/>
        <v>0.15807961729023462</v>
      </c>
      <c r="N22" s="257">
        <f t="shared" si="1"/>
        <v>0.16980560092724367</v>
      </c>
      <c r="O22" s="257">
        <f t="shared" si="1"/>
        <v>0.18161563895840627</v>
      </c>
      <c r="P22" s="257">
        <f t="shared" si="1"/>
        <v>0.19369943923111754</v>
      </c>
      <c r="R22" s="1" t="s">
        <v>7</v>
      </c>
    </row>
    <row r="23" spans="2:18" ht="19.850000000000001" customHeight="1" x14ac:dyDescent="0.4">
      <c r="B23" s="25" t="str">
        <f>'ASM &amp; Model'!BH25</f>
        <v>+ SBC</v>
      </c>
      <c r="C23" s="84">
        <f>'ASM &amp; Model'!BI25</f>
        <v>28804</v>
      </c>
      <c r="D23" s="84">
        <f>'ASM &amp; Model'!BJ25</f>
        <v>14859</v>
      </c>
      <c r="E23" s="84">
        <f>'ASM &amp; Model'!BK25</f>
        <v>1246229.8786499999</v>
      </c>
      <c r="F23" s="84">
        <f>'ASM &amp; Model'!BL25</f>
        <v>222989.43215500002</v>
      </c>
      <c r="G23" s="84">
        <f>'ASM &amp; Model'!BM25</f>
        <v>225064.16707750002</v>
      </c>
      <c r="H23" s="84">
        <f>'ASM &amp; Model'!BN25</f>
        <v>227564.11910250003</v>
      </c>
      <c r="I23" s="84">
        <f>'ASM &amp; Model'!BO25</f>
        <v>12514.845855</v>
      </c>
      <c r="J23" s="84">
        <f>'ASM &amp; Model'!BP25</f>
        <v>15362.380047499999</v>
      </c>
      <c r="K23" s="84">
        <f>'ASM &amp; Model'!BQ25</f>
        <v>18266.632611249999</v>
      </c>
      <c r="L23" s="84">
        <f>'ASM &amp; Model'!BR25</f>
        <v>21387.832772499998</v>
      </c>
      <c r="M23" s="84">
        <f>'ASM &amp; Model'!BS25</f>
        <v>24433.110707499996</v>
      </c>
      <c r="N23" s="84">
        <f>'ASM &amp; Model'!BT25</f>
        <v>27364.373712500001</v>
      </c>
      <c r="O23" s="84">
        <f>'ASM &amp; Model'!BU25</f>
        <v>30182.352227499992</v>
      </c>
      <c r="P23" s="84">
        <f>'ASM &amp; Model'!BV25</f>
        <v>32075.535174999997</v>
      </c>
      <c r="R23" s="1" t="s">
        <v>7</v>
      </c>
    </row>
    <row r="24" spans="2:18" ht="19.850000000000001" customHeight="1" x14ac:dyDescent="0.4">
      <c r="B24" s="68" t="str">
        <f>'ASM &amp; Model'!BH26</f>
        <v>= Adjusted EBITDA</v>
      </c>
      <c r="C24" s="179">
        <f>'ASM &amp; Model'!BI26</f>
        <v>-92995</v>
      </c>
      <c r="D24" s="179">
        <f>'ASM &amp; Model'!BJ26</f>
        <v>-39003</v>
      </c>
      <c r="E24" s="179">
        <f>'ASM &amp; Model'!BK26</f>
        <v>-47261.105700000015</v>
      </c>
      <c r="F24" s="179">
        <f>'ASM &amp; Model'!BL26</f>
        <v>-43672.482899999988</v>
      </c>
      <c r="G24" s="179">
        <f>'ASM &amp; Model'!BM26</f>
        <v>47037.451060000007</v>
      </c>
      <c r="H24" s="179">
        <f>'ASM &amp; Model'!BN26</f>
        <v>197550.8056350002</v>
      </c>
      <c r="I24" s="179">
        <f>'ASM &amp; Model'!BO26</f>
        <v>414894.23002000037</v>
      </c>
      <c r="J24" s="179">
        <f>'ASM &amp; Model'!BP26</f>
        <v>725123.8867950011</v>
      </c>
      <c r="K24" s="179">
        <f>'ASM &amp; Model'!BQ26</f>
        <v>1083940.3498500013</v>
      </c>
      <c r="L24" s="179">
        <f>'ASM &amp; Model'!BR26</f>
        <v>1400550.7443250003</v>
      </c>
      <c r="M24" s="179">
        <f>'ASM &amp; Model'!BS26</f>
        <v>1758197.396475001</v>
      </c>
      <c r="N24" s="179">
        <f>'ASM &amp; Model'!BT26</f>
        <v>2155786.3108250014</v>
      </c>
      <c r="O24" s="179">
        <f>'ASM &amp; Model'!BU26</f>
        <v>2593722.5111750015</v>
      </c>
      <c r="P24" s="179">
        <f>'ASM &amp; Model'!BV26</f>
        <v>3000991.583775002</v>
      </c>
      <c r="R24" s="1" t="s">
        <v>7</v>
      </c>
    </row>
    <row r="25" spans="2:18" ht="19.850000000000001" customHeight="1" x14ac:dyDescent="0.4">
      <c r="B25" s="7" t="str">
        <f>'ASM &amp; Model'!BH27</f>
        <v>Adjusted EBITDA Margin (%)</v>
      </c>
      <c r="C25" s="125">
        <f>'ASM &amp; Model'!BI27</f>
        <v>-0.19666830213259118</v>
      </c>
      <c r="D25" s="125">
        <f>'ASM &amp; Model'!BJ27</f>
        <v>-5.1595910743294372E-2</v>
      </c>
      <c r="E25" s="125">
        <f>'ASM &amp; Model'!BK27</f>
        <v>-3.896955374885594E-2</v>
      </c>
      <c r="F25" s="125">
        <f>'ASM &amp; Model'!BL27</f>
        <v>-2.346872603284467E-2</v>
      </c>
      <c r="G25" s="125">
        <f>'ASM &amp; Model'!BM27</f>
        <v>1.7155401220710874E-2</v>
      </c>
      <c r="H25" s="125">
        <f>'ASM &amp; Model'!BN27</f>
        <v>5.1846896943722583E-2</v>
      </c>
      <c r="I25" s="125">
        <f>'ASM &amp; Model'!BO27</f>
        <v>8.2105571149256582E-2</v>
      </c>
      <c r="J25" s="125">
        <f>'ASM &amp; Model'!BP27</f>
        <v>0.11278518781474832</v>
      </c>
      <c r="K25" s="125">
        <f>'ASM &amp; Model'!BQ27</f>
        <v>0.1374110162224281</v>
      </c>
      <c r="L25" s="125">
        <f>'ASM &amp; Model'!BR27</f>
        <v>0.14877440772695977</v>
      </c>
      <c r="M25" s="125">
        <f>'ASM &amp; Model'!BS27</f>
        <v>0.16030735771697996</v>
      </c>
      <c r="N25" s="125">
        <f>'ASM &amp; Model'!BT27</f>
        <v>0.1719887319320634</v>
      </c>
      <c r="O25" s="125">
        <f>'ASM &amp; Model'!BU27</f>
        <v>0.18375392696841961</v>
      </c>
      <c r="P25" s="125">
        <f>'ASM &amp; Model'!BV27</f>
        <v>0.19579212662096987</v>
      </c>
      <c r="R25" s="1" t="s">
        <v>7</v>
      </c>
    </row>
    <row r="26" spans="2:18" ht="19.850000000000001" customHeight="1" x14ac:dyDescent="0.4">
      <c r="B26" s="7" t="str">
        <f>'ASM &amp; Model'!BH29</f>
        <v>YoY Percentage Point Change</v>
      </c>
      <c r="C26" s="1">
        <f>'ASM &amp; Model'!BI29</f>
        <v>0</v>
      </c>
      <c r="D26" s="184">
        <f>'ASM &amp; Model'!BJ29</f>
        <v>0.14507239138929681</v>
      </c>
      <c r="E26" s="184">
        <f>'ASM &amp; Model'!BK29</f>
        <v>1.2626356994438433E-2</v>
      </c>
      <c r="F26" s="184">
        <f>'ASM &amp; Model'!BL29</f>
        <v>1.5500827716011269E-2</v>
      </c>
      <c r="G26" s="184">
        <f>'ASM &amp; Model'!BM29</f>
        <v>4.0624127253555548E-2</v>
      </c>
      <c r="H26" s="184">
        <f>'ASM &amp; Model'!BN29</f>
        <v>3.4691495723011709E-2</v>
      </c>
      <c r="I26" s="184">
        <f>'ASM &amp; Model'!BO29</f>
        <v>3.0258674205533999E-2</v>
      </c>
      <c r="J26" s="184">
        <f>'ASM &amp; Model'!BP29</f>
        <v>3.0679616665491738E-2</v>
      </c>
      <c r="K26" s="184">
        <f>'ASM &amp; Model'!BQ29</f>
        <v>2.4625828407679781E-2</v>
      </c>
      <c r="L26" s="184">
        <f>'ASM &amp; Model'!BR29</f>
        <v>1.1363391504531667E-2</v>
      </c>
      <c r="M26" s="184">
        <f>'ASM &amp; Model'!BS29</f>
        <v>1.1532949990020191E-2</v>
      </c>
      <c r="N26" s="184">
        <f>'ASM &amp; Model'!BT29</f>
        <v>1.1681374215083445E-2</v>
      </c>
      <c r="O26" s="184">
        <f>'ASM &amp; Model'!BU29</f>
        <v>1.1765195036356202E-2</v>
      </c>
      <c r="P26" s="184">
        <f>'ASM &amp; Model'!BV29</f>
        <v>1.2038199652550263E-2</v>
      </c>
      <c r="R26" s="1" t="s">
        <v>7</v>
      </c>
    </row>
    <row r="27" spans="2:18" ht="19.850000000000001" customHeight="1" x14ac:dyDescent="0.4">
      <c r="B27" s="1" t="str">
        <f>'ASM &amp; Model'!BH30</f>
        <v>Int. Income</v>
      </c>
      <c r="C27" s="28">
        <f>'ASM &amp; Model'!BI30</f>
        <v>8313</v>
      </c>
      <c r="D27" s="28">
        <f>'ASM &amp; Model'!BJ30</f>
        <v>13152</v>
      </c>
      <c r="E27" s="28">
        <f>'ASM &amp; Model'!BK30</f>
        <v>28186</v>
      </c>
      <c r="F27" s="28">
        <f>'ASM &amp; Model'!BL30</f>
        <v>32000</v>
      </c>
      <c r="G27" s="28">
        <f>'ASM &amp; Model'!BM30</f>
        <v>32000</v>
      </c>
      <c r="H27" s="28">
        <f>'ASM &amp; Model'!BN30</f>
        <v>32000</v>
      </c>
      <c r="I27" s="28">
        <f>'ASM &amp; Model'!BO30</f>
        <v>32000</v>
      </c>
      <c r="J27" s="28">
        <f>'ASM &amp; Model'!BP30</f>
        <v>32000</v>
      </c>
      <c r="K27" s="28">
        <f>'ASM &amp; Model'!BQ30</f>
        <v>32000</v>
      </c>
      <c r="L27" s="28">
        <f>'ASM &amp; Model'!BR30</f>
        <v>32000</v>
      </c>
      <c r="M27" s="28">
        <f>'ASM &amp; Model'!BS30</f>
        <v>32000</v>
      </c>
      <c r="N27" s="28">
        <f>'ASM &amp; Model'!BT30</f>
        <v>32000</v>
      </c>
      <c r="O27" s="28">
        <f>'ASM &amp; Model'!BU30</f>
        <v>32000</v>
      </c>
      <c r="P27" s="28">
        <f>'ASM &amp; Model'!BV30</f>
        <v>32000</v>
      </c>
      <c r="R27" s="1" t="s">
        <v>7</v>
      </c>
    </row>
    <row r="28" spans="2:18" ht="19.850000000000001" customHeight="1" x14ac:dyDescent="0.4">
      <c r="B28" s="6" t="str">
        <f>'ASM &amp; Model'!BH31</f>
        <v>Int. Exp. &amp; Other Income / Exp., net</v>
      </c>
      <c r="C28" s="11">
        <f>'ASM &amp; Model'!BI31</f>
        <v>-112</v>
      </c>
      <c r="D28" s="11">
        <f>'ASM &amp; Model'!BJ31</f>
        <v>-995</v>
      </c>
      <c r="E28" s="11">
        <f>'ASM &amp; Model'!BK31</f>
        <v>-1948</v>
      </c>
      <c r="F28" s="11">
        <f>'ASM &amp; Model'!BL31</f>
        <v>-2000</v>
      </c>
      <c r="G28" s="11">
        <f>'ASM &amp; Model'!BM31</f>
        <v>-2000</v>
      </c>
      <c r="H28" s="11">
        <f>'ASM &amp; Model'!BN31</f>
        <v>-2000</v>
      </c>
      <c r="I28" s="11">
        <f>'ASM &amp; Model'!BO31</f>
        <v>-2000</v>
      </c>
      <c r="J28" s="11">
        <f>'ASM &amp; Model'!BP31</f>
        <v>-2000</v>
      </c>
      <c r="K28" s="11">
        <f>'ASM &amp; Model'!BQ31</f>
        <v>-2000</v>
      </c>
      <c r="L28" s="11">
        <f>'ASM &amp; Model'!BR31</f>
        <v>-2000</v>
      </c>
      <c r="M28" s="11">
        <f>'ASM &amp; Model'!BS31</f>
        <v>-2000</v>
      </c>
      <c r="N28" s="11">
        <f>'ASM &amp; Model'!BT31</f>
        <v>-2000</v>
      </c>
      <c r="O28" s="11">
        <f>'ASM &amp; Model'!BU31</f>
        <v>-2000</v>
      </c>
      <c r="P28" s="11">
        <f>'ASM &amp; Model'!BV31</f>
        <v>-2000</v>
      </c>
      <c r="R28" s="1" t="s">
        <v>7</v>
      </c>
    </row>
    <row r="29" spans="2:18" ht="19.850000000000001" customHeight="1" x14ac:dyDescent="0.4">
      <c r="B29" s="1" t="str">
        <f>'ASM &amp; Model'!BH32</f>
        <v>Income / Loss before Income Taxes</v>
      </c>
      <c r="C29" s="28">
        <f>'ASM &amp; Model'!BI32</f>
        <v>-129733</v>
      </c>
      <c r="D29" s="28">
        <f>'ASM &amp; Model'!BJ32</f>
        <v>-62564</v>
      </c>
      <c r="E29" s="28">
        <f>'ASM &amp; Model'!BK32</f>
        <v>-1298196.23435</v>
      </c>
      <c r="F29" s="28">
        <f>'ASM &amp; Model'!BL32</f>
        <v>-13672.482899999988</v>
      </c>
      <c r="G29" s="28">
        <f>'ASM &amp; Model'!BM32</f>
        <v>77037.451060000007</v>
      </c>
      <c r="H29" s="28">
        <f>'ASM &amp; Model'!BN32</f>
        <v>227550.80563500017</v>
      </c>
      <c r="I29" s="28">
        <f>'ASM &amp; Model'!BO32</f>
        <v>444894.23002000037</v>
      </c>
      <c r="J29" s="28">
        <f>'ASM &amp; Model'!BP32</f>
        <v>755123.8867950011</v>
      </c>
      <c r="K29" s="28">
        <f>'ASM &amp; Model'!BQ32</f>
        <v>1113940.3498500013</v>
      </c>
      <c r="L29" s="28">
        <f>'ASM &amp; Model'!BR32</f>
        <v>1430550.7443250003</v>
      </c>
      <c r="M29" s="28">
        <f>'ASM &amp; Model'!BS32</f>
        <v>1788197.396475001</v>
      </c>
      <c r="N29" s="28">
        <f>'ASM &amp; Model'!BT32</f>
        <v>2185786.3108250014</v>
      </c>
      <c r="O29" s="28">
        <f>'ASM &amp; Model'!BU32</f>
        <v>2623722.5111750015</v>
      </c>
      <c r="P29" s="28">
        <f>'ASM &amp; Model'!BV32</f>
        <v>3030991.583775002</v>
      </c>
      <c r="R29" s="1" t="s">
        <v>7</v>
      </c>
    </row>
    <row r="30" spans="2:18" ht="19.850000000000001" customHeight="1" x14ac:dyDescent="0.4">
      <c r="B30" s="1" t="str">
        <f>'ASM &amp; Model'!BH33</f>
        <v>Income Taxes</v>
      </c>
      <c r="C30" s="28">
        <f>'ASM &amp; Model'!BI33</f>
        <v>311</v>
      </c>
      <c r="D30" s="28">
        <f>'ASM &amp; Model'!BJ33</f>
        <v>410</v>
      </c>
      <c r="E30" s="28">
        <f>'ASM &amp; Model'!BK33</f>
        <v>190</v>
      </c>
      <c r="F30" s="28">
        <f>'ASM &amp; Model'!BL33</f>
        <v>4637.1618000000071</v>
      </c>
      <c r="G30" s="28">
        <f>'ASM &amp; Model'!BM33</f>
        <v>20431.667717499993</v>
      </c>
      <c r="H30" s="28">
        <f>'ASM &amp; Model'!BN33</f>
        <v>43319.725984374993</v>
      </c>
      <c r="I30" s="28">
        <f>'ASM &amp; Model'!BO33</f>
        <v>86134.402800000011</v>
      </c>
      <c r="J30" s="28">
        <f>'ASM &amp; Model'!BP33</f>
        <v>137257.57981187527</v>
      </c>
      <c r="K30" s="28">
        <f>'ASM &amp; Model'!BQ33</f>
        <v>217116.50743468781</v>
      </c>
      <c r="L30" s="28">
        <f>'ASM &amp; Model'!BR33</f>
        <v>285953.71226312517</v>
      </c>
      <c r="M30" s="28">
        <f>'ASM &amp; Model'!BS33</f>
        <v>364893.16519187519</v>
      </c>
      <c r="N30" s="28">
        <f>'ASM &amp; Model'!BT33</f>
        <v>453765.09365312522</v>
      </c>
      <c r="O30" s="28">
        <f>'ASM &amp; Model'!BU33</f>
        <v>552665.07098687545</v>
      </c>
      <c r="P30" s="28">
        <f>'ASM &amp; Model'!BV33</f>
        <v>646432.52777500043</v>
      </c>
      <c r="R30" s="1" t="s">
        <v>7</v>
      </c>
    </row>
    <row r="31" spans="2:18" ht="19.850000000000001" customHeight="1" x14ac:dyDescent="0.4">
      <c r="B31" s="65" t="str">
        <f>'ASM &amp; Model'!BH34</f>
        <v>Net Income / Loss</v>
      </c>
      <c r="C31" s="66">
        <f>'ASM &amp; Model'!BI34</f>
        <v>-130044</v>
      </c>
      <c r="D31" s="66">
        <f>'ASM &amp; Model'!BJ34</f>
        <v>-62974</v>
      </c>
      <c r="E31" s="66">
        <f>'ASM &amp; Model'!BK34</f>
        <v>-1298386.23435</v>
      </c>
      <c r="F31" s="66">
        <f>'ASM &amp; Model'!BL34</f>
        <v>-18309.64469999999</v>
      </c>
      <c r="G31" s="66">
        <f>'ASM &amp; Model'!BM34</f>
        <v>56605.783342500028</v>
      </c>
      <c r="H31" s="66">
        <f>'ASM &amp; Model'!BN34</f>
        <v>184231.07965062518</v>
      </c>
      <c r="I31" s="66">
        <f>'ASM &amp; Model'!BO34</f>
        <v>358759.82722000033</v>
      </c>
      <c r="J31" s="66">
        <f>'ASM &amp; Model'!BP34</f>
        <v>617866.30698312586</v>
      </c>
      <c r="K31" s="66">
        <f>'ASM &amp; Model'!BQ34</f>
        <v>896823.84241531347</v>
      </c>
      <c r="L31" s="66">
        <f>'ASM &amp; Model'!BR34</f>
        <v>1144597.0320618753</v>
      </c>
      <c r="M31" s="66">
        <f>'ASM &amp; Model'!BS34</f>
        <v>1423304.2312831259</v>
      </c>
      <c r="N31" s="66">
        <f>'ASM &amp; Model'!BT34</f>
        <v>1732021.2171718758</v>
      </c>
      <c r="O31" s="66">
        <f>'ASM &amp; Model'!BU34</f>
        <v>2071057.4401881259</v>
      </c>
      <c r="P31" s="66">
        <f>'ASM &amp; Model'!BV34</f>
        <v>2384559.0560000017</v>
      </c>
      <c r="R31" s="1" t="s">
        <v>7</v>
      </c>
    </row>
    <row r="32" spans="2:18" ht="19.850000000000001" customHeight="1" x14ac:dyDescent="0.4">
      <c r="R32" s="1" t="s">
        <v>7</v>
      </c>
    </row>
    <row r="33" spans="2:18" ht="19.850000000000001" customHeight="1" x14ac:dyDescent="0.4">
      <c r="B33" s="126" t="str">
        <f>'ASM &amp; Model'!BH67</f>
        <v>Cash Flow</v>
      </c>
      <c r="C33" s="130"/>
      <c r="D33" s="130"/>
      <c r="E33" s="316" t="s">
        <v>168</v>
      </c>
      <c r="F33" s="130">
        <v>0.5</v>
      </c>
      <c r="G33" s="130">
        <f>F33+1</f>
        <v>1.5</v>
      </c>
      <c r="H33" s="130">
        <f t="shared" ref="H33:P33" si="2">G33+1</f>
        <v>2.5</v>
      </c>
      <c r="I33" s="130">
        <f t="shared" si="2"/>
        <v>3.5</v>
      </c>
      <c r="J33" s="130">
        <f t="shared" si="2"/>
        <v>4.5</v>
      </c>
      <c r="K33" s="130">
        <f t="shared" si="2"/>
        <v>5.5</v>
      </c>
      <c r="L33" s="130">
        <f t="shared" si="2"/>
        <v>6.5</v>
      </c>
      <c r="M33" s="130">
        <f t="shared" si="2"/>
        <v>7.5</v>
      </c>
      <c r="N33" s="130">
        <f t="shared" si="2"/>
        <v>8.5</v>
      </c>
      <c r="O33" s="130">
        <f t="shared" si="2"/>
        <v>9.5</v>
      </c>
      <c r="P33" s="130">
        <f t="shared" si="2"/>
        <v>10.5</v>
      </c>
      <c r="R33" s="1" t="s">
        <v>7</v>
      </c>
    </row>
    <row r="34" spans="2:18" ht="19.850000000000001" customHeight="1" x14ac:dyDescent="0.4">
      <c r="B34" s="33" t="str">
        <f>'ASM &amp; Model'!BH68</f>
        <v>Operating P&amp;L</v>
      </c>
      <c r="C34" s="185">
        <f>'ASM &amp; Model'!BI68</f>
        <v>-137934</v>
      </c>
      <c r="D34" s="185">
        <f>'ASM &amp; Model'!BJ68</f>
        <v>-74721</v>
      </c>
      <c r="E34" s="185">
        <f>'ASM &amp; Model'!BK68</f>
        <v>-1324434.23435</v>
      </c>
      <c r="F34" s="185">
        <f>'ASM &amp; Model'!BL68</f>
        <v>-313183.91505499999</v>
      </c>
      <c r="G34" s="185">
        <f>'ASM &amp; Model'!BM68</f>
        <v>-246572.84101749997</v>
      </c>
      <c r="H34" s="185">
        <f>'ASM &amp; Model'!BN68</f>
        <v>-125270.12596749983</v>
      </c>
      <c r="I34" s="185">
        <f>'ASM &amp; Model'!BO68</f>
        <v>276049.8841650004</v>
      </c>
      <c r="J34" s="185">
        <f>'ASM &amp; Model'!BP68</f>
        <v>549030.3192475012</v>
      </c>
      <c r="K34" s="185">
        <f>'ASM &amp; Model'!BQ68</f>
        <v>868466.02973875124</v>
      </c>
      <c r="L34" s="185">
        <f>'ASM &amp; Model'!BR68</f>
        <v>1143814.8490525004</v>
      </c>
      <c r="M34" s="185">
        <f>'ASM &amp; Model'!BS68</f>
        <v>1459572.6607675012</v>
      </c>
      <c r="N34" s="185">
        <f>'ASM &amp; Model'!BT68</f>
        <v>1815060.3746125011</v>
      </c>
      <c r="O34" s="185">
        <f>'ASM &amp; Model'!BU68</f>
        <v>2210660.2839475013</v>
      </c>
      <c r="P34" s="185">
        <f>'ASM &amp; Model'!BV68</f>
        <v>2585730.1111000022</v>
      </c>
      <c r="R34" s="1" t="s">
        <v>7</v>
      </c>
    </row>
    <row r="35" spans="2:18" ht="19.850000000000001" customHeight="1" x14ac:dyDescent="0.4">
      <c r="B35" s="33" t="str">
        <f>'ASM &amp; Model'!BH69</f>
        <v>NOPAT</v>
      </c>
      <c r="C35" s="185">
        <f>'ASM &amp; Model'!BI69</f>
        <v>-138245</v>
      </c>
      <c r="D35" s="185">
        <f>'ASM &amp; Model'!BJ69</f>
        <v>-75131</v>
      </c>
      <c r="E35" s="185">
        <f>'ASM &amp; Model'!BK69</f>
        <v>-1324624.23435</v>
      </c>
      <c r="F35" s="185">
        <f>'ASM &amp; Model'!BL69</f>
        <v>-317821.07685499999</v>
      </c>
      <c r="G35" s="185">
        <f>'ASM &amp; Model'!BM69</f>
        <v>-267004.50873499998</v>
      </c>
      <c r="H35" s="185">
        <f>'ASM &amp; Model'!BN69</f>
        <v>-168589.85195187482</v>
      </c>
      <c r="I35" s="185">
        <f>'ASM &amp; Model'!BO69</f>
        <v>189915.48136500039</v>
      </c>
      <c r="J35" s="185">
        <f>'ASM &amp; Model'!BP69</f>
        <v>411772.73943562584</v>
      </c>
      <c r="K35" s="185">
        <f>'ASM &amp; Model'!BQ69</f>
        <v>651349.52230406343</v>
      </c>
      <c r="L35" s="185">
        <f>'ASM &amp; Model'!BR69</f>
        <v>857861.13678937533</v>
      </c>
      <c r="M35" s="185">
        <f>'ASM &amp; Model'!BS69</f>
        <v>1094679.4955756259</v>
      </c>
      <c r="N35" s="185">
        <f>'ASM &amp; Model'!BT69</f>
        <v>1361295.2809593759</v>
      </c>
      <c r="O35" s="185">
        <f>'ASM &amp; Model'!BU69</f>
        <v>1657995.212960626</v>
      </c>
      <c r="P35" s="185">
        <f>'ASM &amp; Model'!BV69</f>
        <v>1939297.5833250016</v>
      </c>
      <c r="R35" s="1" t="s">
        <v>7</v>
      </c>
    </row>
    <row r="36" spans="2:18" ht="19.850000000000001" customHeight="1" x14ac:dyDescent="0.4">
      <c r="B36" s="33" t="str">
        <f>'ASM &amp; Model'!BH70</f>
        <v>Tax Rate</v>
      </c>
      <c r="C36" s="30">
        <f>'ASM &amp; Model'!BI70</f>
        <v>0</v>
      </c>
      <c r="D36" s="30">
        <f>'ASM &amp; Model'!BJ70</f>
        <v>0</v>
      </c>
      <c r="E36" s="30">
        <f>'ASM &amp; Model'!BK70</f>
        <v>0</v>
      </c>
      <c r="F36" s="30">
        <f>'ASM &amp; Model'!BL70</f>
        <v>0</v>
      </c>
      <c r="G36" s="30">
        <f>'ASM &amp; Model'!BM70</f>
        <v>0</v>
      </c>
      <c r="H36" s="30">
        <f>'ASM &amp; Model'!BN70</f>
        <v>0</v>
      </c>
      <c r="I36" s="30">
        <f>'ASM &amp; Model'!BO70</f>
        <v>0</v>
      </c>
      <c r="J36" s="30">
        <f>'ASM &amp; Model'!BP70</f>
        <v>0</v>
      </c>
      <c r="K36" s="230">
        <f>'ASM &amp; Model'!BQ70</f>
        <v>0</v>
      </c>
      <c r="L36" s="30">
        <f>'ASM &amp; Model'!BR70</f>
        <v>0</v>
      </c>
      <c r="M36" s="30">
        <f>'ASM &amp; Model'!BS70</f>
        <v>0</v>
      </c>
      <c r="N36" s="30">
        <f>'ASM &amp; Model'!BT70</f>
        <v>0</v>
      </c>
      <c r="O36" s="30">
        <f>'ASM &amp; Model'!BU70</f>
        <v>0</v>
      </c>
      <c r="P36" s="30">
        <f>'ASM &amp; Model'!BV70</f>
        <v>0</v>
      </c>
      <c r="R36" s="1" t="s">
        <v>7</v>
      </c>
    </row>
    <row r="37" spans="2:18" ht="19.850000000000001" customHeight="1" x14ac:dyDescent="0.4">
      <c r="B37" s="153" t="str">
        <f>'ASM &amp; Model'!BH71</f>
        <v>+ D&amp;A Exp.</v>
      </c>
      <c r="C37" s="185">
        <f>'ASM &amp; Model'!BI71</f>
        <v>16135</v>
      </c>
      <c r="D37" s="185">
        <f>'ASM &amp; Model'!BJ71</f>
        <v>20859</v>
      </c>
      <c r="E37" s="185">
        <f>'ASM &amp; Model'!BK71</f>
        <v>30943.25</v>
      </c>
      <c r="F37" s="185">
        <f>'ASM &amp; Model'!BL71</f>
        <v>46522</v>
      </c>
      <c r="G37" s="185">
        <f>'ASM &amp; Model'!BM71</f>
        <v>68546.125</v>
      </c>
      <c r="H37" s="185">
        <f>'ASM &amp; Model'!BN71</f>
        <v>95256.8125</v>
      </c>
      <c r="I37" s="185">
        <f>'ASM &amp; Model'!BO71</f>
        <v>126329.5</v>
      </c>
      <c r="J37" s="185">
        <f>'ASM &amp; Model'!BP71</f>
        <v>160731.1875</v>
      </c>
      <c r="K37" s="185">
        <f>'ASM &amp; Model'!BQ71</f>
        <v>197207.6875</v>
      </c>
      <c r="L37" s="185">
        <f>'ASM &amp; Model'!BR71</f>
        <v>235348.0625</v>
      </c>
      <c r="M37" s="185">
        <f>'ASM &amp; Model'!BS71</f>
        <v>274191.625</v>
      </c>
      <c r="N37" s="185">
        <f>'ASM &amp; Model'!BT71</f>
        <v>313361.5625</v>
      </c>
      <c r="O37" s="185">
        <f>'ASM &amp; Model'!BU71</f>
        <v>352879.875</v>
      </c>
      <c r="P37" s="185">
        <f>'ASM &amp; Model'!BV71</f>
        <v>383185.9375</v>
      </c>
      <c r="R37" s="1" t="s">
        <v>7</v>
      </c>
    </row>
    <row r="38" spans="2:18" ht="19.850000000000001" customHeight="1" x14ac:dyDescent="0.4">
      <c r="B38" s="153" t="str">
        <f>'ASM &amp; Model'!BH72</f>
        <v>+ SBC</v>
      </c>
      <c r="C38" s="185">
        <f>'ASM &amp; Model'!BI72</f>
        <v>28804</v>
      </c>
      <c r="D38" s="185">
        <f>'ASM &amp; Model'!BJ72</f>
        <v>14859</v>
      </c>
      <c r="E38" s="185">
        <f>'ASM &amp; Model'!BK72</f>
        <v>1246229.8786499999</v>
      </c>
      <c r="F38" s="185">
        <f>'ASM &amp; Model'!BL72</f>
        <v>222989.43215500002</v>
      </c>
      <c r="G38" s="185">
        <f>'ASM &amp; Model'!BM72</f>
        <v>225064.16707750002</v>
      </c>
      <c r="H38" s="185">
        <f>'ASM &amp; Model'!BN72</f>
        <v>227564.11910250003</v>
      </c>
      <c r="I38" s="185">
        <f>'ASM &amp; Model'!BO72</f>
        <v>12514.845855</v>
      </c>
      <c r="J38" s="185">
        <f>'ASM &amp; Model'!BP72</f>
        <v>15362.380047499999</v>
      </c>
      <c r="K38" s="185">
        <f>'ASM &amp; Model'!BQ72</f>
        <v>18266.632611249999</v>
      </c>
      <c r="L38" s="185">
        <f>'ASM &amp; Model'!BR72</f>
        <v>21387.832772499998</v>
      </c>
      <c r="M38" s="185">
        <f>'ASM &amp; Model'!BS72</f>
        <v>24433.110707499996</v>
      </c>
      <c r="N38" s="185">
        <f>'ASM &amp; Model'!BT72</f>
        <v>27364.373712500001</v>
      </c>
      <c r="O38" s="185">
        <f>'ASM &amp; Model'!BU72</f>
        <v>30182.352227499992</v>
      </c>
      <c r="P38" s="185">
        <f>'ASM &amp; Model'!BV72</f>
        <v>32075.535174999997</v>
      </c>
      <c r="R38" s="1" t="s">
        <v>7</v>
      </c>
    </row>
    <row r="39" spans="2:18" ht="19.850000000000001" customHeight="1" x14ac:dyDescent="0.4">
      <c r="B39" s="153" t="str">
        <f>'ASM &amp; Model'!BH73</f>
        <v>- Changes in NWC</v>
      </c>
      <c r="C39" s="185"/>
      <c r="D39" s="185"/>
      <c r="E39" s="185">
        <f>'ASM &amp; Model'!BK73</f>
        <v>95114</v>
      </c>
      <c r="F39" s="185">
        <f>'ASM &amp; Model'!BL73</f>
        <v>111013.20000000001</v>
      </c>
      <c r="G39" s="185">
        <f>'ASM &amp; Model'!BM73</f>
        <v>167383.34999999998</v>
      </c>
      <c r="H39" s="185">
        <f>'ASM &amp; Model'!BN73</f>
        <v>164898.49999999994</v>
      </c>
      <c r="I39" s="185">
        <f>'ASM &amp; Model'!BO73</f>
        <v>223723.35000000009</v>
      </c>
      <c r="J39" s="185">
        <f>'ASM &amp; Model'!BP73</f>
        <v>183399.67500000016</v>
      </c>
      <c r="K39" s="185">
        <f>'ASM &amp; Model'!BQ73</f>
        <v>248040.19999999995</v>
      </c>
      <c r="L39" s="185">
        <f>'ASM &amp; Model'!BR73</f>
        <v>165215.32499999995</v>
      </c>
      <c r="M39" s="185">
        <f>'ASM &amp; Model'!BS73</f>
        <v>248598.80000000005</v>
      </c>
      <c r="N39" s="185">
        <f>'ASM &amp; Model'!BT73</f>
        <v>125342.97499999986</v>
      </c>
      <c r="O39" s="185">
        <f>'ASM &amp; Model'!BU73</f>
        <v>237109.875</v>
      </c>
      <c r="P39" s="185">
        <f>'ASM &amp; Model'!BV73</f>
        <v>181836.375</v>
      </c>
      <c r="R39" s="1" t="s">
        <v>7</v>
      </c>
    </row>
    <row r="40" spans="2:18" ht="19.850000000000001" customHeight="1" x14ac:dyDescent="0.4">
      <c r="B40" s="154" t="str">
        <f>'ASM &amp; Model'!BH74</f>
        <v>- Capex</v>
      </c>
      <c r="C40" s="198"/>
      <c r="D40" s="198"/>
      <c r="E40" s="198">
        <f>'ASM &amp; Model'!BK74</f>
        <v>28522.15</v>
      </c>
      <c r="F40" s="198">
        <f>'ASM &amp; Model'!BL74</f>
        <v>43847.6</v>
      </c>
      <c r="G40" s="198">
        <f>'ASM &amp; Model'!BM74</f>
        <v>64733.574999999997</v>
      </c>
      <c r="H40" s="198">
        <f>'ASM &amp; Model'!BN74</f>
        <v>90077.825000000012</v>
      </c>
      <c r="I40" s="198">
        <f>'ASM &amp; Model'!BO74</f>
        <v>119568.825</v>
      </c>
      <c r="J40" s="198">
        <f>'ASM &amp; Model'!BP74</f>
        <v>152225.9</v>
      </c>
      <c r="K40" s="198">
        <f>'ASM &amp; Model'!BQ74</f>
        <v>186851.375</v>
      </c>
      <c r="L40" s="198">
        <f>'ASM &amp; Model'!BR74</f>
        <v>223057.34999999998</v>
      </c>
      <c r="M40" s="198">
        <f>'ASM &amp; Model'!BS74</f>
        <v>259932.74374999997</v>
      </c>
      <c r="N40" s="198">
        <f>'ASM &amp; Model'!BT74</f>
        <v>297117.54375000001</v>
      </c>
      <c r="O40" s="198">
        <f>'ASM &amp; Model'!BU74</f>
        <v>334634.89375000005</v>
      </c>
      <c r="P40" s="198">
        <f>'ASM &amp; Model'!BV74</f>
        <v>363406.23124999995</v>
      </c>
      <c r="R40" s="1" t="s">
        <v>7</v>
      </c>
    </row>
    <row r="41" spans="2:18" ht="19.850000000000001" customHeight="1" x14ac:dyDescent="0.4">
      <c r="B41" s="153" t="str">
        <f>'ASM &amp; Model'!BH75</f>
        <v>= FCF</v>
      </c>
      <c r="C41" s="185"/>
      <c r="D41" s="185"/>
      <c r="E41" s="185">
        <f>'ASM &amp; Model'!BK75</f>
        <v>-282024.13434999995</v>
      </c>
      <c r="F41" s="185">
        <f>'ASM &amp; Model'!BL75</f>
        <v>-426159.87685500004</v>
      </c>
      <c r="G41" s="185">
        <f>'ASM &amp; Model'!BM75</f>
        <v>-430575.30873499997</v>
      </c>
      <c r="H41" s="185">
        <f>'ASM &amp; Model'!BN75</f>
        <v>-328309.36445187475</v>
      </c>
      <c r="I41" s="185">
        <f>'ASM &amp; Model'!BO75</f>
        <v>-27047.193634999712</v>
      </c>
      <c r="J41" s="185">
        <f>'ASM &amp; Model'!BP75</f>
        <v>236878.35193562572</v>
      </c>
      <c r="K41" s="185">
        <f>'ASM &amp; Model'!BQ75</f>
        <v>413665.63480406353</v>
      </c>
      <c r="L41" s="185">
        <f>'ASM &amp; Model'!BR75</f>
        <v>704936.52428937552</v>
      </c>
      <c r="M41" s="185">
        <f>'ASM &amp; Model'!BS75</f>
        <v>860339.57682562573</v>
      </c>
      <c r="N41" s="185">
        <f>'ASM &amp; Model'!BT75</f>
        <v>1252196.3247093761</v>
      </c>
      <c r="O41" s="185">
        <f>'ASM &amp; Model'!BU75</f>
        <v>1439130.3192106262</v>
      </c>
      <c r="P41" s="185">
        <f>'ASM &amp; Model'!BV75</f>
        <v>1777240.9145750017</v>
      </c>
      <c r="R41" s="1" t="s">
        <v>7</v>
      </c>
    </row>
    <row r="42" spans="2:18" ht="19.850000000000001" customHeight="1" x14ac:dyDescent="0.4">
      <c r="B42" s="153" t="str">
        <f>'ASM &amp; Model'!BH76</f>
        <v>Beginning Cash &amp; Mkt Securities</v>
      </c>
      <c r="C42" s="42">
        <f>'ASM &amp; Model'!BI76</f>
        <v>0</v>
      </c>
      <c r="D42" s="42">
        <f>'ASM &amp; Model'!BJ76</f>
        <v>711628</v>
      </c>
      <c r="E42" s="42">
        <f>'ASM &amp; Model'!BK76</f>
        <v>627813</v>
      </c>
      <c r="F42" s="42">
        <f>'ASM &amp; Model'!BL76</f>
        <v>1620376.8656499998</v>
      </c>
      <c r="G42" s="42">
        <f>'ASM &amp; Model'!BM76</f>
        <v>1194216.9887949997</v>
      </c>
      <c r="H42" s="42">
        <f>'ASM &amp; Model'!BN76</f>
        <v>763641.68005999981</v>
      </c>
      <c r="I42" s="42">
        <f>'ASM &amp; Model'!BO76</f>
        <v>435332.31560812506</v>
      </c>
      <c r="J42" s="42">
        <f>'ASM &amp; Model'!BP76</f>
        <v>408285.12197312532</v>
      </c>
      <c r="K42" s="42">
        <f>'ASM &amp; Model'!BQ76</f>
        <v>645163.47390875104</v>
      </c>
      <c r="L42" s="42">
        <f>'ASM &amp; Model'!BR76</f>
        <v>1058829.1087128143</v>
      </c>
      <c r="M42" s="42">
        <f>'ASM &amp; Model'!BS76</f>
        <v>1763765.6330021897</v>
      </c>
      <c r="N42" s="42">
        <f>'ASM &amp; Model'!BT76</f>
        <v>2624105.2098278156</v>
      </c>
      <c r="O42" s="42">
        <f>'ASM &amp; Model'!BU76</f>
        <v>3876301.5345371915</v>
      </c>
      <c r="P42" s="42">
        <f>'ASM &amp; Model'!BV76</f>
        <v>5315431.8537478168</v>
      </c>
      <c r="R42" s="1" t="s">
        <v>7</v>
      </c>
    </row>
    <row r="43" spans="2:18" ht="19.850000000000001" customHeight="1" x14ac:dyDescent="0.4">
      <c r="B43" s="153" t="str">
        <f>'ASM &amp; Model'!BH77</f>
        <v>Ending Cash &amp; Mkt Securities</v>
      </c>
      <c r="C43" s="42">
        <f>'ASM &amp; Model'!BI77</f>
        <v>711628</v>
      </c>
      <c r="D43" s="42">
        <f>'ASM &amp; Model'!BJ77</f>
        <v>627813</v>
      </c>
      <c r="E43" s="42">
        <f>'ASM &amp; Model'!BK77</f>
        <v>1620376.8656499998</v>
      </c>
      <c r="F43" s="42">
        <f>'ASM &amp; Model'!BL77</f>
        <v>1194216.9887949997</v>
      </c>
      <c r="G43" s="42">
        <f>'ASM &amp; Model'!BM77</f>
        <v>763641.68005999981</v>
      </c>
      <c r="H43" s="42">
        <f>'ASM &amp; Model'!BN77</f>
        <v>435332.31560812506</v>
      </c>
      <c r="I43" s="42">
        <f>'ASM &amp; Model'!BO77</f>
        <v>408285.12197312532</v>
      </c>
      <c r="J43" s="42">
        <f>'ASM &amp; Model'!BP77</f>
        <v>645163.47390875104</v>
      </c>
      <c r="K43" s="42">
        <f>'ASM &amp; Model'!BQ77</f>
        <v>1058829.1087128143</v>
      </c>
      <c r="L43" s="42">
        <f>'ASM &amp; Model'!BR77</f>
        <v>1763765.6330021897</v>
      </c>
      <c r="M43" s="42">
        <f>'ASM &amp; Model'!BS77</f>
        <v>2624105.2098278156</v>
      </c>
      <c r="N43" s="42">
        <f>'ASM &amp; Model'!BT77</f>
        <v>3876301.5345371915</v>
      </c>
      <c r="O43" s="42">
        <f>'ASM &amp; Model'!BU77</f>
        <v>5315431.8537478168</v>
      </c>
      <c r="P43" s="42">
        <f>'ASM &amp; Model'!BV77</f>
        <v>7092672.7683228189</v>
      </c>
      <c r="R43" s="1" t="s">
        <v>7</v>
      </c>
    </row>
    <row r="44" spans="2:18" ht="19.850000000000001" customHeight="1" x14ac:dyDescent="0.4">
      <c r="B44" s="33" t="str">
        <f>'ASM &amp; Model'!BH78</f>
        <v>Capital Shortfall</v>
      </c>
      <c r="C44" s="42">
        <f>'ASM &amp; Model'!BI78</f>
        <v>0</v>
      </c>
      <c r="D44" s="42">
        <f>'ASM &amp; Model'!BJ78</f>
        <v>0</v>
      </c>
      <c r="E44" s="42">
        <f>'ASM &amp; Model'!BK78</f>
        <v>0</v>
      </c>
      <c r="F44" s="42">
        <f>'ASM &amp; Model'!BL78</f>
        <v>0</v>
      </c>
      <c r="G44" s="42">
        <f>'ASM &amp; Model'!BM78</f>
        <v>0</v>
      </c>
      <c r="H44" s="42">
        <f>'ASM &amp; Model'!BN78</f>
        <v>0</v>
      </c>
      <c r="I44" s="42">
        <f>'ASM &amp; Model'!BO78</f>
        <v>0</v>
      </c>
      <c r="J44" s="42">
        <f>'ASM &amp; Model'!BP78</f>
        <v>0</v>
      </c>
      <c r="K44" s="42">
        <f>'ASM &amp; Model'!BQ78</f>
        <v>0</v>
      </c>
      <c r="L44" s="42">
        <f>'ASM &amp; Model'!BR78</f>
        <v>0</v>
      </c>
      <c r="M44" s="42">
        <f>'ASM &amp; Model'!BS78</f>
        <v>0</v>
      </c>
      <c r="N44" s="42">
        <f>'ASM &amp; Model'!BT78</f>
        <v>0</v>
      </c>
      <c r="O44" s="42">
        <f>'ASM &amp; Model'!BU78</f>
        <v>0</v>
      </c>
      <c r="P44" s="42">
        <f>'ASM &amp; Model'!BV78</f>
        <v>0</v>
      </c>
      <c r="R44" s="1" t="s">
        <v>7</v>
      </c>
    </row>
    <row r="45" spans="2:18" ht="19.850000000000001" customHeight="1" x14ac:dyDescent="0.4">
      <c r="C45" s="307" t="s">
        <v>244</v>
      </c>
      <c r="D45" s="308" t="s">
        <v>172</v>
      </c>
      <c r="E45" s="307" t="s">
        <v>169</v>
      </c>
      <c r="F45" s="313">
        <v>0.15</v>
      </c>
      <c r="G45" s="313">
        <v>0.15</v>
      </c>
      <c r="H45" s="313">
        <v>0.15</v>
      </c>
      <c r="I45" s="313">
        <v>0.15</v>
      </c>
      <c r="J45" s="313">
        <v>0.1</v>
      </c>
      <c r="K45" s="313">
        <v>0.1</v>
      </c>
      <c r="L45" s="313">
        <v>0.1</v>
      </c>
      <c r="M45" s="313">
        <v>0.1</v>
      </c>
      <c r="N45" s="313">
        <v>0.1</v>
      </c>
      <c r="O45" s="313">
        <v>0.1</v>
      </c>
      <c r="P45" s="314">
        <v>0.08</v>
      </c>
      <c r="R45" s="1" t="s">
        <v>7</v>
      </c>
    </row>
    <row r="46" spans="2:18" ht="19.850000000000001" customHeight="1" x14ac:dyDescent="0.4">
      <c r="C46" s="237" t="s">
        <v>171</v>
      </c>
      <c r="D46" s="309">
        <v>0.03</v>
      </c>
      <c r="E46" s="237" t="s">
        <v>170</v>
      </c>
      <c r="F46" s="21">
        <f>F41/(1+F45)^F33</f>
        <v>-397396.13424638752</v>
      </c>
      <c r="G46" s="21">
        <f t="shared" ref="G46:P46" si="3">G41/(1+G45)^G33</f>
        <v>-349142.21365647402</v>
      </c>
      <c r="H46" s="21">
        <f t="shared" si="3"/>
        <v>-231493.42982358774</v>
      </c>
      <c r="I46" s="21">
        <f t="shared" si="3"/>
        <v>-16583.636468509278</v>
      </c>
      <c r="J46" s="21">
        <f t="shared" si="3"/>
        <v>154261.76270252734</v>
      </c>
      <c r="K46" s="21">
        <f t="shared" si="3"/>
        <v>244900.50185481861</v>
      </c>
      <c r="L46" s="21">
        <f t="shared" si="3"/>
        <v>379400.20338150143</v>
      </c>
      <c r="M46" s="21">
        <f t="shared" si="3"/>
        <v>420944.42572019191</v>
      </c>
      <c r="N46" s="21">
        <f t="shared" si="3"/>
        <v>556973.58767291543</v>
      </c>
      <c r="O46" s="21">
        <f t="shared" si="3"/>
        <v>581928.48198191798</v>
      </c>
      <c r="P46" s="239">
        <f t="shared" si="3"/>
        <v>792130.74542567774</v>
      </c>
      <c r="R46" s="1" t="s">
        <v>7</v>
      </c>
    </row>
    <row r="47" spans="2:18" ht="19.850000000000001" customHeight="1" x14ac:dyDescent="0.4">
      <c r="C47" s="237" t="s">
        <v>178</v>
      </c>
      <c r="D47" s="310">
        <v>10</v>
      </c>
      <c r="E47" s="237" t="s">
        <v>179</v>
      </c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39">
        <f>P41*(1+D46)/(P45-D46)/(1+P45)^P33</f>
        <v>16317893.35576896</v>
      </c>
      <c r="R47" s="1" t="s">
        <v>7</v>
      </c>
    </row>
    <row r="48" spans="2:18" ht="19.850000000000001" customHeight="1" x14ac:dyDescent="0.4">
      <c r="C48" s="237" t="s">
        <v>242</v>
      </c>
      <c r="D48" s="261"/>
      <c r="E48" s="262" t="s">
        <v>180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312">
        <f>(P18+P20)*D47/(1+P45)^P33</f>
        <v>13232700.54947033</v>
      </c>
      <c r="R48" s="1" t="s">
        <v>7</v>
      </c>
    </row>
    <row r="49" spans="3:18" ht="19.850000000000001" customHeight="1" x14ac:dyDescent="0.4">
      <c r="C49" s="311" t="s">
        <v>176</v>
      </c>
      <c r="D49" s="239">
        <v>154489397</v>
      </c>
      <c r="R49" s="1" t="s">
        <v>7</v>
      </c>
    </row>
    <row r="50" spans="3:18" ht="19.850000000000001" customHeight="1" x14ac:dyDescent="0.4">
      <c r="C50" s="311" t="s">
        <v>177</v>
      </c>
      <c r="D50" s="312">
        <v>388221025</v>
      </c>
      <c r="R50" s="1" t="s">
        <v>7</v>
      </c>
    </row>
    <row r="51" spans="3:18" ht="19.850000000000001" customHeight="1" x14ac:dyDescent="0.4">
      <c r="C51" s="262" t="s">
        <v>243</v>
      </c>
      <c r="D51" s="312">
        <f>SUM(D49:D50)</f>
        <v>542710422</v>
      </c>
      <c r="R51" s="1" t="s">
        <v>7</v>
      </c>
    </row>
    <row r="52" spans="3:18" ht="19.850000000000001" customHeight="1" x14ac:dyDescent="0.4">
      <c r="C52" s="297" t="s">
        <v>237</v>
      </c>
      <c r="D52" s="322" t="s">
        <v>181</v>
      </c>
      <c r="E52" s="323"/>
      <c r="F52" s="296" t="s">
        <v>236</v>
      </c>
      <c r="G52" s="296" t="s">
        <v>216</v>
      </c>
      <c r="H52" s="302" t="s">
        <v>215</v>
      </c>
      <c r="I52" s="302" t="s">
        <v>217</v>
      </c>
      <c r="J52" s="303" t="s">
        <v>185</v>
      </c>
      <c r="L52" s="1" t="s">
        <v>247</v>
      </c>
      <c r="R52" s="1" t="s">
        <v>7</v>
      </c>
    </row>
    <row r="53" spans="3:18" ht="14.6" x14ac:dyDescent="0.4">
      <c r="C53" s="305">
        <v>43757</v>
      </c>
      <c r="D53" s="244" t="s">
        <v>184</v>
      </c>
      <c r="E53" s="260" t="s">
        <v>183</v>
      </c>
      <c r="F53" s="305">
        <v>43757</v>
      </c>
      <c r="G53" s="237"/>
      <c r="H53" s="71"/>
      <c r="I53" s="71"/>
      <c r="J53" s="261"/>
      <c r="L53" s="324" t="s">
        <v>248</v>
      </c>
      <c r="M53" s="324"/>
      <c r="N53" s="324"/>
      <c r="O53" s="324"/>
      <c r="P53" s="324"/>
      <c r="R53" s="1" t="s">
        <v>7</v>
      </c>
    </row>
    <row r="54" spans="3:18" ht="14.6" x14ac:dyDescent="0.4">
      <c r="C54" s="238" t="s">
        <v>240</v>
      </c>
      <c r="D54" s="258">
        <f>(SUM(F46:P46)+P47)/10^6</f>
        <v>18.453817650313553</v>
      </c>
      <c r="E54" s="288">
        <f>(SUM(F46:P46)+P48)/10^6</f>
        <v>15.368624844014921</v>
      </c>
      <c r="F54" s="237" t="s">
        <v>238</v>
      </c>
      <c r="G54" s="245">
        <v>481.62</v>
      </c>
      <c r="H54" s="21">
        <v>26.2</v>
      </c>
      <c r="I54" s="21">
        <v>17.46</v>
      </c>
      <c r="J54" s="239">
        <v>746.67</v>
      </c>
      <c r="L54" s="324"/>
      <c r="M54" s="324"/>
      <c r="N54" s="324"/>
      <c r="O54" s="324"/>
      <c r="P54" s="324"/>
      <c r="R54" s="1" t="s">
        <v>7</v>
      </c>
    </row>
    <row r="55" spans="3:18" ht="19.850000000000001" customHeight="1" x14ac:dyDescent="0.4">
      <c r="C55" s="240" t="s">
        <v>173</v>
      </c>
      <c r="D55" s="245">
        <v>0</v>
      </c>
      <c r="E55" s="21">
        <v>0</v>
      </c>
      <c r="F55" s="237"/>
      <c r="G55" s="245"/>
      <c r="H55" s="21"/>
      <c r="I55" s="21"/>
      <c r="J55" s="239"/>
      <c r="R55" s="1" t="s">
        <v>7</v>
      </c>
    </row>
    <row r="56" spans="3:18" ht="19.850000000000001" customHeight="1" x14ac:dyDescent="0.4">
      <c r="C56" s="241" t="s">
        <v>174</v>
      </c>
      <c r="D56" s="298">
        <f>E43/10^6</f>
        <v>1.6203768656499997</v>
      </c>
      <c r="E56" s="299">
        <f>E43/10^6</f>
        <v>1.6203768656499997</v>
      </c>
      <c r="F56" s="237"/>
      <c r="G56" s="245"/>
      <c r="H56" s="21"/>
      <c r="I56" s="21"/>
      <c r="J56" s="239"/>
      <c r="M56" s="304"/>
      <c r="R56" s="1" t="s">
        <v>7</v>
      </c>
    </row>
    <row r="57" spans="3:18" ht="19.850000000000001" customHeight="1" x14ac:dyDescent="0.4">
      <c r="C57" s="242" t="s">
        <v>175</v>
      </c>
      <c r="D57" s="300">
        <f>D54-D55+D56</f>
        <v>20.074194515963551</v>
      </c>
      <c r="E57" s="301">
        <f>E54+E56</f>
        <v>16.989001709664919</v>
      </c>
      <c r="F57" s="237" t="s">
        <v>239</v>
      </c>
      <c r="G57" s="245">
        <v>530.22</v>
      </c>
      <c r="H57" s="21">
        <v>30.14</v>
      </c>
      <c r="I57" s="21">
        <v>18.649999999999999</v>
      </c>
      <c r="J57" s="239">
        <v>863.65</v>
      </c>
      <c r="M57" s="304"/>
      <c r="R57" s="1" t="s">
        <v>7</v>
      </c>
    </row>
    <row r="58" spans="3:18" ht="19.850000000000001" customHeight="1" x14ac:dyDescent="0.4">
      <c r="C58" s="289" t="s">
        <v>241</v>
      </c>
      <c r="D58" s="290">
        <f>D57/D51*10^9</f>
        <v>36.988776522820402</v>
      </c>
      <c r="E58" s="291">
        <f>E57/D51*10^9</f>
        <v>31.303990159350434</v>
      </c>
      <c r="F58" s="292"/>
      <c r="G58" s="293"/>
      <c r="H58" s="294"/>
      <c r="I58" s="294"/>
      <c r="J58" s="295"/>
      <c r="M58" s="304"/>
      <c r="R58" s="1" t="s">
        <v>7</v>
      </c>
    </row>
    <row r="59" spans="3:18" ht="19.850000000000001" customHeight="1" x14ac:dyDescent="0.4">
      <c r="C59" s="238" t="s">
        <v>225</v>
      </c>
      <c r="D59" s="245">
        <v>300</v>
      </c>
      <c r="E59" s="21">
        <v>300</v>
      </c>
      <c r="F59" s="237" t="s">
        <v>228</v>
      </c>
      <c r="G59" s="263">
        <v>2414</v>
      </c>
      <c r="H59" s="264"/>
      <c r="I59" s="264"/>
      <c r="J59" s="265"/>
      <c r="M59" s="304"/>
      <c r="R59" s="1" t="s">
        <v>7</v>
      </c>
    </row>
    <row r="60" spans="3:18" ht="19.850000000000001" customHeight="1" x14ac:dyDescent="0.4">
      <c r="C60" s="238" t="s">
        <v>227</v>
      </c>
      <c r="D60" s="259">
        <v>0.56999999999999995</v>
      </c>
      <c r="E60" s="150">
        <v>0.56999999999999995</v>
      </c>
      <c r="F60" s="237" t="s">
        <v>229</v>
      </c>
      <c r="G60" s="266">
        <f>G61/G59</f>
        <v>0.65741507870753935</v>
      </c>
      <c r="H60" s="267"/>
      <c r="I60" s="267"/>
      <c r="J60" s="268"/>
      <c r="R60" s="1" t="s">
        <v>7</v>
      </c>
    </row>
    <row r="61" spans="3:18" ht="19.850000000000001" customHeight="1" x14ac:dyDescent="0.4">
      <c r="C61" s="238" t="s">
        <v>226</v>
      </c>
      <c r="D61" s="245">
        <f>D59*D60</f>
        <v>170.99999999999997</v>
      </c>
      <c r="E61" s="21">
        <f>E59*E60</f>
        <v>170.99999999999997</v>
      </c>
      <c r="F61" s="237" t="s">
        <v>224</v>
      </c>
      <c r="G61" s="269">
        <v>1587</v>
      </c>
      <c r="H61" s="267">
        <v>139</v>
      </c>
      <c r="I61" s="267">
        <v>203</v>
      </c>
      <c r="J61" s="268"/>
      <c r="R61" s="1" t="s">
        <v>7</v>
      </c>
    </row>
    <row r="62" spans="3:18" ht="19.850000000000001" customHeight="1" x14ac:dyDescent="0.4">
      <c r="C62" s="243" t="s">
        <v>245</v>
      </c>
      <c r="D62" s="246">
        <f>D54/D61*1000</f>
        <v>107.91706228253543</v>
      </c>
      <c r="E62" s="11">
        <f>E54/E61*1000</f>
        <v>89.874999087806572</v>
      </c>
      <c r="F62" s="262" t="s">
        <v>246</v>
      </c>
      <c r="G62" s="282">
        <f>G54/G61*1000</f>
        <v>303.47826086956519</v>
      </c>
      <c r="H62" s="283">
        <f>H54/H61*1000</f>
        <v>188.48920863309351</v>
      </c>
      <c r="I62" s="283">
        <f>I54/I61*1000</f>
        <v>86.009852216748769</v>
      </c>
      <c r="J62" s="284"/>
      <c r="R62" s="1" t="s">
        <v>7</v>
      </c>
    </row>
    <row r="63" spans="3:18" ht="19.850000000000001" customHeight="1" x14ac:dyDescent="0.4">
      <c r="C63" s="285" t="s">
        <v>235</v>
      </c>
      <c r="D63" s="279">
        <f>D54/E6*10^6</f>
        <v>15.216255060987288</v>
      </c>
      <c r="E63" s="281">
        <f>E54/E6*10^6</f>
        <v>12.672332630271956</v>
      </c>
      <c r="F63" s="285" t="s">
        <v>222</v>
      </c>
      <c r="G63" s="279">
        <v>7.7</v>
      </c>
      <c r="H63" s="280">
        <v>8</v>
      </c>
      <c r="I63" s="280">
        <v>12.5</v>
      </c>
      <c r="J63" s="281">
        <v>5</v>
      </c>
      <c r="R63" s="1" t="s">
        <v>7</v>
      </c>
    </row>
    <row r="64" spans="3:18" ht="19.850000000000001" customHeight="1" x14ac:dyDescent="0.4">
      <c r="C64" s="286" t="s">
        <v>230</v>
      </c>
      <c r="D64" s="270">
        <f>D54/P18*10^6</f>
        <v>7.1367918759560975</v>
      </c>
      <c r="E64" s="272">
        <f>E54/P18*10^6</f>
        <v>5.9436306898545244</v>
      </c>
      <c r="F64" s="286" t="s">
        <v>219</v>
      </c>
      <c r="G64" s="270">
        <v>18.100000000000001</v>
      </c>
      <c r="H64" s="271">
        <v>31.4</v>
      </c>
      <c r="I64" s="271"/>
      <c r="J64" s="272">
        <v>22</v>
      </c>
      <c r="R64" s="1" t="s">
        <v>7</v>
      </c>
    </row>
    <row r="65" spans="2:18" ht="19.850000000000001" customHeight="1" x14ac:dyDescent="0.4">
      <c r="C65" s="286" t="s">
        <v>231</v>
      </c>
      <c r="D65" s="270">
        <f>D54/P21*10^6</f>
        <v>6.2156751313380809</v>
      </c>
      <c r="E65" s="272">
        <f>E54/P21*10^6</f>
        <v>5.1765104140489333</v>
      </c>
      <c r="F65" s="286" t="s">
        <v>218</v>
      </c>
      <c r="G65" s="270">
        <v>13.4</v>
      </c>
      <c r="H65" s="271">
        <v>20.7</v>
      </c>
      <c r="I65" s="271"/>
      <c r="J65" s="272">
        <v>13.7</v>
      </c>
      <c r="R65" s="1" t="s">
        <v>7</v>
      </c>
    </row>
    <row r="66" spans="2:18" ht="19.850000000000001" customHeight="1" x14ac:dyDescent="0.4">
      <c r="C66" s="286" t="s">
        <v>234</v>
      </c>
      <c r="D66" s="273">
        <f>F7</f>
        <v>0.53440470987903721</v>
      </c>
      <c r="E66" s="275">
        <f>F7</f>
        <v>0.53440470987903721</v>
      </c>
      <c r="F66" s="286" t="s">
        <v>223</v>
      </c>
      <c r="G66" s="273">
        <v>0.255</v>
      </c>
      <c r="H66" s="274">
        <v>0.16900000000000001</v>
      </c>
      <c r="I66" s="274">
        <v>0.439</v>
      </c>
      <c r="J66" s="275">
        <v>0.188</v>
      </c>
      <c r="R66" s="1" t="s">
        <v>7</v>
      </c>
    </row>
    <row r="67" spans="2:18" ht="19.850000000000001" customHeight="1" x14ac:dyDescent="0.4">
      <c r="C67" s="286" t="s">
        <v>232</v>
      </c>
      <c r="D67" s="273">
        <f>P19</f>
        <v>0.16869943923111755</v>
      </c>
      <c r="E67" s="275">
        <f>P19</f>
        <v>0.16869943923111755</v>
      </c>
      <c r="F67" s="286" t="s">
        <v>220</v>
      </c>
      <c r="G67" s="273">
        <v>0.42399999999999999</v>
      </c>
      <c r="H67" s="274">
        <v>0.253</v>
      </c>
      <c r="I67" s="274">
        <v>-0.35699999999999998</v>
      </c>
      <c r="J67" s="275">
        <v>0.22900000000000001</v>
      </c>
      <c r="R67" s="1" t="s">
        <v>7</v>
      </c>
    </row>
    <row r="68" spans="2:18" ht="19.850000000000001" customHeight="1" x14ac:dyDescent="0.4">
      <c r="C68" s="287" t="s">
        <v>233</v>
      </c>
      <c r="D68" s="276">
        <f>P22</f>
        <v>0.19369943923111754</v>
      </c>
      <c r="E68" s="278">
        <f>P22</f>
        <v>0.19369943923111754</v>
      </c>
      <c r="F68" s="287" t="s">
        <v>221</v>
      </c>
      <c r="G68" s="276">
        <v>0.57599999999999996</v>
      </c>
      <c r="H68" s="277">
        <v>0.38500000000000001</v>
      </c>
      <c r="I68" s="277">
        <v>-0.28000000000000003</v>
      </c>
      <c r="J68" s="278">
        <v>0.36699999999999999</v>
      </c>
      <c r="R68" s="1" t="s">
        <v>7</v>
      </c>
    </row>
    <row r="69" spans="2:18" ht="19.850000000000001" customHeight="1" x14ac:dyDescent="0.4">
      <c r="C69" s="232"/>
      <c r="D69" s="28"/>
      <c r="E69" s="232"/>
      <c r="F69" s="28"/>
      <c r="R69" s="1" t="s">
        <v>7</v>
      </c>
    </row>
    <row r="70" spans="2:18" ht="19.850000000000001" customHeight="1" x14ac:dyDescent="0.4">
      <c r="C70" s="1" t="s">
        <v>257</v>
      </c>
      <c r="D70" s="233">
        <v>25.31</v>
      </c>
      <c r="R70" s="1" t="s">
        <v>7</v>
      </c>
    </row>
    <row r="71" spans="2:18" ht="19.850000000000001" customHeight="1" x14ac:dyDescent="0.4">
      <c r="C71" s="1" t="s">
        <v>182</v>
      </c>
      <c r="D71" s="73">
        <f>D58/D70-1</f>
        <v>0.46142933713237477</v>
      </c>
      <c r="E71" s="73">
        <f>E58/D70-1</f>
        <v>0.23682300115963795</v>
      </c>
      <c r="R71" s="1" t="s">
        <v>7</v>
      </c>
    </row>
    <row r="72" spans="2:18" ht="19.850000000000001" customHeight="1" x14ac:dyDescent="0.4">
      <c r="B72" s="181" t="str">
        <f>'ASM &amp; Model'!BH36</f>
        <v>&lt; Metrics &gt;</v>
      </c>
      <c r="R72" s="1" t="s">
        <v>7</v>
      </c>
    </row>
    <row r="73" spans="2:18" ht="19.850000000000001" customHeight="1" x14ac:dyDescent="0.4">
      <c r="B73" s="8" t="str">
        <f>'ASM &amp; Model'!BH37</f>
        <v>User Base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R73" s="1" t="s">
        <v>7</v>
      </c>
    </row>
    <row r="74" spans="2:18" ht="19.850000000000001" customHeight="1" x14ac:dyDescent="0.4">
      <c r="B74" s="1" t="str">
        <f>'ASM &amp; Model'!BH38</f>
        <v>US MAU (M)</v>
      </c>
      <c r="C74" s="173">
        <f>'ASM &amp; Model'!BI38</f>
        <v>76</v>
      </c>
      <c r="D74" s="173">
        <f>'ASM &amp; Model'!BJ38</f>
        <v>82</v>
      </c>
      <c r="E74" s="173">
        <f>'ASM &amp; Model'!BK38</f>
        <v>86</v>
      </c>
      <c r="F74" s="173">
        <f>'ASM &amp; Model'!BL38</f>
        <v>87.5</v>
      </c>
      <c r="G74" s="173">
        <f>'ASM &amp; Model'!BM38</f>
        <v>89</v>
      </c>
      <c r="H74" s="173">
        <f>'ASM &amp; Model'!BN38</f>
        <v>90.5</v>
      </c>
      <c r="I74" s="173">
        <f>'ASM &amp; Model'!BO38</f>
        <v>92</v>
      </c>
      <c r="J74" s="173">
        <f>'ASM &amp; Model'!BP38</f>
        <v>93.5</v>
      </c>
      <c r="K74" s="173">
        <f>'ASM &amp; Model'!BQ38</f>
        <v>95</v>
      </c>
      <c r="L74" s="173">
        <f>'ASM &amp; Model'!BR38</f>
        <v>96.5</v>
      </c>
      <c r="M74" s="173">
        <f>'ASM &amp; Model'!BS38</f>
        <v>98</v>
      </c>
      <c r="N74" s="173">
        <f>'ASM &amp; Model'!BT38</f>
        <v>99.5</v>
      </c>
      <c r="O74" s="173">
        <f>'ASM &amp; Model'!BU38</f>
        <v>101</v>
      </c>
      <c r="P74" s="173">
        <f>'ASM &amp; Model'!BV38</f>
        <v>102.5</v>
      </c>
      <c r="R74" s="1" t="s">
        <v>7</v>
      </c>
    </row>
    <row r="75" spans="2:18" ht="19.850000000000001" customHeight="1" x14ac:dyDescent="0.4">
      <c r="B75" s="234" t="str">
        <f>'ASM &amp; Model'!BH39</f>
        <v>Net Addition</v>
      </c>
      <c r="C75" s="177">
        <f>'ASM &amp; Model'!BI39</f>
        <v>6</v>
      </c>
      <c r="D75" s="177">
        <f>'ASM &amp; Model'!BJ39</f>
        <v>6</v>
      </c>
      <c r="E75" s="177">
        <f>'ASM &amp; Model'!BK39</f>
        <v>4</v>
      </c>
      <c r="F75" s="177">
        <f>'ASM &amp; Model'!BL39</f>
        <v>1.5</v>
      </c>
      <c r="G75" s="177">
        <f>'ASM &amp; Model'!BM39</f>
        <v>1.5</v>
      </c>
      <c r="H75" s="177">
        <f>'ASM &amp; Model'!BN39</f>
        <v>1.5</v>
      </c>
      <c r="I75" s="177">
        <f>'ASM &amp; Model'!BO39</f>
        <v>1.5</v>
      </c>
      <c r="J75" s="177">
        <f>'ASM &amp; Model'!BP39</f>
        <v>1.5</v>
      </c>
      <c r="K75" s="177">
        <f>'ASM &amp; Model'!BQ39</f>
        <v>1.5</v>
      </c>
      <c r="L75" s="177">
        <f>'ASM &amp; Model'!BR39</f>
        <v>1.5</v>
      </c>
      <c r="M75" s="177">
        <f>'ASM &amp; Model'!BS39</f>
        <v>1.5</v>
      </c>
      <c r="N75" s="177">
        <f>'ASM &amp; Model'!BT39</f>
        <v>1.5</v>
      </c>
      <c r="O75" s="177">
        <f>'ASM &amp; Model'!BU39</f>
        <v>1.5</v>
      </c>
      <c r="P75" s="177">
        <f>'ASM &amp; Model'!BV39</f>
        <v>1.5</v>
      </c>
      <c r="R75" s="1" t="s">
        <v>7</v>
      </c>
    </row>
    <row r="76" spans="2:18" ht="19.850000000000001" customHeight="1" x14ac:dyDescent="0.4">
      <c r="B76" s="71" t="str">
        <f>'ASM &amp; Model'!BH40</f>
        <v>Int'l MAU (M)</v>
      </c>
      <c r="C76" s="173">
        <f>'ASM &amp; Model'!BI40</f>
        <v>139</v>
      </c>
      <c r="D76" s="173">
        <f>'ASM &amp; Model'!BJ40</f>
        <v>184</v>
      </c>
      <c r="E76" s="173">
        <f>'ASM &amp; Model'!BK40</f>
        <v>241</v>
      </c>
      <c r="F76" s="173">
        <f>'ASM &amp; Model'!BL40</f>
        <v>295</v>
      </c>
      <c r="G76" s="173">
        <f>'ASM &amp; Model'!BM40</f>
        <v>341</v>
      </c>
      <c r="H76" s="173">
        <f>'ASM &amp; Model'!BN40</f>
        <v>378</v>
      </c>
      <c r="I76" s="173">
        <f>'ASM &amp; Model'!BO40</f>
        <v>407.5</v>
      </c>
      <c r="J76" s="173">
        <f>'ASM &amp; Model'!BP40</f>
        <v>430.5</v>
      </c>
      <c r="K76" s="173">
        <f>'ASM &amp; Model'!BQ40</f>
        <v>451</v>
      </c>
      <c r="L76" s="173">
        <f>'ASM &amp; Model'!BR40</f>
        <v>469.75</v>
      </c>
      <c r="M76" s="173">
        <f>'ASM &amp; Model'!BS40</f>
        <v>486.75</v>
      </c>
      <c r="N76" s="173">
        <f>'ASM &amp; Model'!BT40</f>
        <v>503.75</v>
      </c>
      <c r="O76" s="173">
        <f>'ASM &amp; Model'!BU40</f>
        <v>520.75</v>
      </c>
      <c r="P76" s="173">
        <f>'ASM &amp; Model'!BV40</f>
        <v>537.75</v>
      </c>
      <c r="R76" s="1" t="s">
        <v>7</v>
      </c>
    </row>
    <row r="77" spans="2:18" ht="19.850000000000001" customHeight="1" x14ac:dyDescent="0.4">
      <c r="B77" s="235" t="str">
        <f>'ASM &amp; Model'!BH41</f>
        <v>Net Addition</v>
      </c>
      <c r="C77" s="85">
        <f>'ASM &amp; Model'!BI41</f>
        <v>49</v>
      </c>
      <c r="D77" s="85">
        <f>'ASM &amp; Model'!BJ41</f>
        <v>45</v>
      </c>
      <c r="E77" s="85">
        <f>'ASM &amp; Model'!BK41</f>
        <v>57</v>
      </c>
      <c r="F77" s="85">
        <f>'ASM &amp; Model'!BL41</f>
        <v>54</v>
      </c>
      <c r="G77" s="85">
        <f>'ASM &amp; Model'!BM41</f>
        <v>46</v>
      </c>
      <c r="H77" s="85">
        <f>'ASM &amp; Model'!BN41</f>
        <v>37</v>
      </c>
      <c r="I77" s="85">
        <f>'ASM &amp; Model'!BO41</f>
        <v>29.5</v>
      </c>
      <c r="J77" s="85">
        <f>'ASM &amp; Model'!BP41</f>
        <v>23</v>
      </c>
      <c r="K77" s="85">
        <f>'ASM &amp; Model'!BQ41</f>
        <v>20.5</v>
      </c>
      <c r="L77" s="85">
        <f>'ASM &amp; Model'!BR41</f>
        <v>18.75</v>
      </c>
      <c r="M77" s="85">
        <f>'ASM &amp; Model'!BS41</f>
        <v>17</v>
      </c>
      <c r="N77" s="85">
        <f>'ASM &amp; Model'!BT41</f>
        <v>17</v>
      </c>
      <c r="O77" s="85">
        <f>'ASM &amp; Model'!BU41</f>
        <v>17</v>
      </c>
      <c r="P77" s="85">
        <f>'ASM &amp; Model'!BV41</f>
        <v>17</v>
      </c>
      <c r="R77" s="1" t="s">
        <v>7</v>
      </c>
    </row>
    <row r="78" spans="2:18" ht="19.850000000000001" customHeight="1" x14ac:dyDescent="0.4">
      <c r="B78" s="1" t="str">
        <f>'ASM &amp; Model'!BH42</f>
        <v>Global MAU (M)</v>
      </c>
      <c r="C78" s="173">
        <f>'ASM &amp; Model'!BI42</f>
        <v>215</v>
      </c>
      <c r="D78" s="173">
        <f>'ASM &amp; Model'!BJ42</f>
        <v>266</v>
      </c>
      <c r="E78" s="173">
        <f>'ASM &amp; Model'!BK42</f>
        <v>327</v>
      </c>
      <c r="F78" s="173">
        <f>'ASM &amp; Model'!BL42</f>
        <v>382.5</v>
      </c>
      <c r="G78" s="173">
        <f>'ASM &amp; Model'!BM42</f>
        <v>430</v>
      </c>
      <c r="H78" s="173">
        <f>'ASM &amp; Model'!BN42</f>
        <v>468.5</v>
      </c>
      <c r="I78" s="173">
        <f>'ASM &amp; Model'!BO42</f>
        <v>499.5</v>
      </c>
      <c r="J78" s="173">
        <f>'ASM &amp; Model'!BP42</f>
        <v>524</v>
      </c>
      <c r="K78" s="173">
        <f>'ASM &amp; Model'!BQ42</f>
        <v>546</v>
      </c>
      <c r="L78" s="173">
        <f>'ASM &amp; Model'!BR42</f>
        <v>566.25</v>
      </c>
      <c r="M78" s="173">
        <f>'ASM &amp; Model'!BS42</f>
        <v>584.75</v>
      </c>
      <c r="N78" s="173">
        <f>'ASM &amp; Model'!BT42</f>
        <v>603.25</v>
      </c>
      <c r="O78" s="173">
        <f>'ASM &amp; Model'!BU42</f>
        <v>621.75</v>
      </c>
      <c r="P78" s="173">
        <f>'ASM &amp; Model'!BV42</f>
        <v>640.25</v>
      </c>
      <c r="R78" s="1" t="s">
        <v>7</v>
      </c>
    </row>
    <row r="79" spans="2:18" ht="19.850000000000001" customHeight="1" x14ac:dyDescent="0.4">
      <c r="B79" s="3" t="str">
        <f>'ASM &amp; Model'!BH44</f>
        <v>YoY (%)</v>
      </c>
      <c r="C79" s="1">
        <f>'ASM &amp; Model'!BI44</f>
        <v>0</v>
      </c>
      <c r="D79" s="5">
        <f>'ASM &amp; Model'!BJ44</f>
        <v>0.23720930232558146</v>
      </c>
      <c r="E79" s="5">
        <f>'ASM &amp; Model'!BK44</f>
        <v>0.22932330827067671</v>
      </c>
      <c r="F79" s="5">
        <f>'ASM &amp; Model'!BL44</f>
        <v>0.16972477064220182</v>
      </c>
      <c r="G79" s="5">
        <f>'ASM &amp; Model'!BM44</f>
        <v>0.12418300653594772</v>
      </c>
      <c r="H79" s="5">
        <f>'ASM &amp; Model'!BN44</f>
        <v>8.9534883720930214E-2</v>
      </c>
      <c r="I79" s="5">
        <f>'ASM &amp; Model'!BO44</f>
        <v>6.6168623265741688E-2</v>
      </c>
      <c r="J79" s="5">
        <f>'ASM &amp; Model'!BP44</f>
        <v>4.9049049049048943E-2</v>
      </c>
      <c r="K79" s="5">
        <f>'ASM &amp; Model'!BQ44</f>
        <v>4.1984732824427384E-2</v>
      </c>
      <c r="L79" s="5">
        <f>'ASM &amp; Model'!BR44</f>
        <v>3.7087912087912178E-2</v>
      </c>
      <c r="M79" s="5">
        <f>'ASM &amp; Model'!BS44</f>
        <v>3.2671081677704272E-2</v>
      </c>
      <c r="N79" s="5">
        <f>'ASM &amp; Model'!BT44</f>
        <v>3.1637451902522429E-2</v>
      </c>
      <c r="O79" s="5">
        <f>'ASM &amp; Model'!BU44</f>
        <v>3.0667219229175258E-2</v>
      </c>
      <c r="P79" s="5">
        <f>'ASM &amp; Model'!BV44</f>
        <v>2.97547245677523E-2</v>
      </c>
      <c r="R79" s="1" t="s">
        <v>7</v>
      </c>
    </row>
    <row r="80" spans="2:18" ht="19.850000000000001" customHeight="1" x14ac:dyDescent="0.4">
      <c r="B80" s="126" t="str">
        <f>'ASM &amp; Model'!BH45</f>
        <v>Monetization - Annual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R80" s="1" t="s">
        <v>7</v>
      </c>
    </row>
    <row r="81" spans="2:18" ht="19.850000000000001" customHeight="1" x14ac:dyDescent="0.4">
      <c r="B81" s="1" t="str">
        <f>'ASM &amp; Model'!BH46</f>
        <v>US ARPU ($)</v>
      </c>
      <c r="C81" s="108">
        <f>'ASM &amp; Model'!BI46</f>
        <v>5.9761842105263154</v>
      </c>
      <c r="D81" s="108">
        <f>'ASM &amp; Model'!BJ46</f>
        <v>8.795365853658538</v>
      </c>
      <c r="E81" s="108">
        <f>'ASM &amp; Model'!BK46</f>
        <v>12.661860465116279</v>
      </c>
      <c r="F81" s="108">
        <f>'ASM &amp; Model'!BL46</f>
        <v>16.717657142857146</v>
      </c>
      <c r="G81" s="108">
        <f>'ASM &amp; Model'!BM46</f>
        <v>20.972865168539325</v>
      </c>
      <c r="H81" s="108">
        <f>'ASM &amp; Model'!BN46</f>
        <v>25.328204419889502</v>
      </c>
      <c r="I81" s="108">
        <f>'ASM &amp; Model'!BO46</f>
        <v>29.684347826086956</v>
      </c>
      <c r="J81" s="108">
        <f>'ASM &amp; Model'!BP46</f>
        <v>33.643930481283427</v>
      </c>
      <c r="K81" s="108">
        <f>'ASM &amp; Model'!BQ46</f>
        <v>37.206789473684211</v>
      </c>
      <c r="L81" s="108">
        <f>'ASM &amp; Model'!BR46</f>
        <v>40.174067357512953</v>
      </c>
      <c r="M81" s="108">
        <f>'ASM &amp; Model'!BS46</f>
        <v>42.545561224489795</v>
      </c>
      <c r="N81" s="108">
        <f>'ASM &amp; Model'!BT46</f>
        <v>44.321080402010047</v>
      </c>
      <c r="O81" s="108">
        <f>'ASM &amp; Model'!BU46</f>
        <v>45.500445544554459</v>
      </c>
      <c r="P81" s="108">
        <f>'ASM &amp; Model'!BV46</f>
        <v>46.083487804878054</v>
      </c>
      <c r="R81" s="1" t="s">
        <v>7</v>
      </c>
    </row>
    <row r="82" spans="2:18" ht="19.850000000000001" customHeight="1" x14ac:dyDescent="0.4">
      <c r="B82" s="3" t="str">
        <f>'ASM &amp; Model'!BH48</f>
        <v>YoY Increase / (Decease)</v>
      </c>
      <c r="C82" s="113">
        <f>'ASM &amp; Model'!BI48</f>
        <v>0</v>
      </c>
      <c r="D82" s="113">
        <f>'ASM &amp; Model'!BJ48</f>
        <v>2.8191816431322225</v>
      </c>
      <c r="E82" s="113">
        <f>'ASM &amp; Model'!BK48</f>
        <v>3.8664946114577408</v>
      </c>
      <c r="F82" s="113">
        <f>'ASM &amp; Model'!BL48</f>
        <v>4.0557966777408669</v>
      </c>
      <c r="G82" s="113">
        <f>'ASM &amp; Model'!BM48</f>
        <v>4.2552080256821796</v>
      </c>
      <c r="H82" s="113">
        <f>'ASM &amp; Model'!BN48</f>
        <v>4.355339251350177</v>
      </c>
      <c r="I82" s="113">
        <f>'ASM &amp; Model'!BO48</f>
        <v>4.3561434061974538</v>
      </c>
      <c r="J82" s="113">
        <f>'ASM &amp; Model'!BP48</f>
        <v>3.9595826551964706</v>
      </c>
      <c r="K82" s="113">
        <f>'ASM &amp; Model'!BQ48</f>
        <v>3.5628589924007841</v>
      </c>
      <c r="L82" s="113">
        <f>'ASM &amp; Model'!BR48</f>
        <v>2.9672778838287428</v>
      </c>
      <c r="M82" s="113">
        <f>'ASM &amp; Model'!BS48</f>
        <v>2.3714938669768415</v>
      </c>
      <c r="N82" s="113">
        <f>'ASM &amp; Model'!BT48</f>
        <v>1.7755191775202519</v>
      </c>
      <c r="O82" s="113">
        <f>'ASM &amp; Model'!BU48</f>
        <v>1.1793651425444125</v>
      </c>
      <c r="P82" s="113">
        <f>'ASM &amp; Model'!BV48</f>
        <v>0.58304226032359452</v>
      </c>
      <c r="R82" s="1" t="s">
        <v>7</v>
      </c>
    </row>
    <row r="83" spans="2:18" ht="19.850000000000001" customHeight="1" x14ac:dyDescent="0.4">
      <c r="B83" s="234" t="str">
        <f>'ASM &amp; Model'!BH49</f>
        <v>2nd Derivative</v>
      </c>
      <c r="C83" s="176">
        <f>'ASM &amp; Model'!BI49</f>
        <v>0</v>
      </c>
      <c r="D83" s="176">
        <f>'ASM &amp; Model'!BJ49</f>
        <v>0</v>
      </c>
      <c r="E83" s="176">
        <f>'ASM &amp; Model'!BK49</f>
        <v>1.0473129683255182</v>
      </c>
      <c r="F83" s="176">
        <f>'ASM &amp; Model'!BL49</f>
        <v>0.18930206628312618</v>
      </c>
      <c r="G83" s="176">
        <f>'ASM &amp; Model'!BM49</f>
        <v>0.19941134794131266</v>
      </c>
      <c r="H83" s="176">
        <f>'ASM &amp; Model'!BN49</f>
        <v>0.10013122566799737</v>
      </c>
      <c r="I83" s="176">
        <f>'ASM &amp; Model'!BO49</f>
        <v>8.0415484727680564E-4</v>
      </c>
      <c r="J83" s="176">
        <f>'ASM &amp; Model'!BP49</f>
        <v>-0.3965607510009832</v>
      </c>
      <c r="K83" s="176">
        <f>'ASM &amp; Model'!BQ49</f>
        <v>-0.39672366279568649</v>
      </c>
      <c r="L83" s="176">
        <f>'ASM &amp; Model'!BR49</f>
        <v>-0.59558110857204127</v>
      </c>
      <c r="M83" s="176">
        <f>'ASM &amp; Model'!BS49</f>
        <v>-0.5957840168519013</v>
      </c>
      <c r="N83" s="176">
        <f>'ASM &amp; Model'!BT49</f>
        <v>-0.5959746894565896</v>
      </c>
      <c r="O83" s="176">
        <f>'ASM &amp; Model'!BU49</f>
        <v>-0.59615403497583941</v>
      </c>
      <c r="P83" s="176">
        <f>'ASM &amp; Model'!BV49</f>
        <v>-0.59632288222081797</v>
      </c>
      <c r="R83" s="1" t="s">
        <v>7</v>
      </c>
    </row>
    <row r="84" spans="2:18" ht="19.850000000000001" customHeight="1" x14ac:dyDescent="0.4">
      <c r="B84" s="1" t="str">
        <f>'ASM &amp; Model'!BH50</f>
        <v>Int'l ARPU ($)</v>
      </c>
      <c r="C84" s="108">
        <f>'ASM &amp; Model'!BI50</f>
        <v>0.27230215827338128</v>
      </c>
      <c r="D84" s="108">
        <f>'ASM &amp; Model'!BJ50</f>
        <v>0.33994565217391304</v>
      </c>
      <c r="E84" s="108">
        <f>'ASM &amp; Model'!BK50</f>
        <v>0.60672199170124486</v>
      </c>
      <c r="F84" s="108">
        <f>'ASM &amp; Model'!BL50</f>
        <v>1.3494406779661017</v>
      </c>
      <c r="G84" s="108">
        <f>'ASM &amp; Model'!BM50</f>
        <v>2.5667448680351903</v>
      </c>
      <c r="H84" s="108">
        <f>'ASM &amp; Model'!BN50</f>
        <v>4.0160582010582013</v>
      </c>
      <c r="I84" s="108">
        <f>'ASM &amp; Model'!BO50</f>
        <v>5.6986993865030673</v>
      </c>
      <c r="J84" s="108">
        <f>'ASM &amp; Model'!BP50</f>
        <v>7.6272706155632983</v>
      </c>
      <c r="K84" s="108">
        <f>'ASM &amp; Model'!BQ50</f>
        <v>9.6533536585365862</v>
      </c>
      <c r="L84" s="108">
        <f>'ASM &amp; Model'!BR50</f>
        <v>11.787386907929749</v>
      </c>
      <c r="M84" s="108">
        <f>'ASM &amp; Model'!BS50</f>
        <v>13.966512583461736</v>
      </c>
      <c r="N84" s="108">
        <f>'ASM &amp; Model'!BT50</f>
        <v>16.128069478908188</v>
      </c>
      <c r="O84" s="108">
        <f>'ASM &amp; Model'!BU50</f>
        <v>18.280652904464713</v>
      </c>
      <c r="P84" s="108">
        <f>'ASM &amp; Model'!BV50</f>
        <v>19.718977219897724</v>
      </c>
      <c r="R84" s="1" t="s">
        <v>7</v>
      </c>
    </row>
    <row r="85" spans="2:18" ht="19.850000000000001" customHeight="1" x14ac:dyDescent="0.4">
      <c r="B85" s="3" t="str">
        <f>'ASM &amp; Model'!BH52</f>
        <v>YoY Increase / (Decease)</v>
      </c>
      <c r="C85" s="113">
        <f>'ASM &amp; Model'!BI52</f>
        <v>0</v>
      </c>
      <c r="D85" s="113">
        <f>'ASM &amp; Model'!BJ52</f>
        <v>6.7643493900531759E-2</v>
      </c>
      <c r="E85" s="113">
        <f>'ASM &amp; Model'!BK52</f>
        <v>0.26677633952733182</v>
      </c>
      <c r="F85" s="113">
        <f>'ASM &amp; Model'!BL52</f>
        <v>0.74271868626485682</v>
      </c>
      <c r="G85" s="113">
        <f>'ASM &amp; Model'!BM52</f>
        <v>1.2173041900690886</v>
      </c>
      <c r="H85" s="113">
        <f>'ASM &amp; Model'!BN52</f>
        <v>1.449313333023011</v>
      </c>
      <c r="I85" s="113">
        <f>'ASM &amp; Model'!BO52</f>
        <v>1.682641185444866</v>
      </c>
      <c r="J85" s="113">
        <f>'ASM &amp; Model'!BP52</f>
        <v>1.928571229060231</v>
      </c>
      <c r="K85" s="113">
        <f>'ASM &amp; Model'!BQ52</f>
        <v>2.0260830429732879</v>
      </c>
      <c r="L85" s="113">
        <f>'ASM &amp; Model'!BR52</f>
        <v>2.1340332493931626</v>
      </c>
      <c r="M85" s="113">
        <f>'ASM &amp; Model'!BS52</f>
        <v>2.1791256755319868</v>
      </c>
      <c r="N85" s="113">
        <f>'ASM &amp; Model'!BT52</f>
        <v>2.1615568954464521</v>
      </c>
      <c r="O85" s="113">
        <f>'ASM &amp; Model'!BU52</f>
        <v>2.152583425556525</v>
      </c>
      <c r="P85" s="113">
        <f>'ASM &amp; Model'!BV52</f>
        <v>1.438324315433011</v>
      </c>
      <c r="R85" s="1" t="s">
        <v>7</v>
      </c>
    </row>
    <row r="86" spans="2:18" ht="19.850000000000001" customHeight="1" x14ac:dyDescent="0.4">
      <c r="B86" s="231" t="str">
        <f>'ASM &amp; Model'!BH53</f>
        <v>2nd Derivative</v>
      </c>
      <c r="C86" s="175">
        <f>'ASM &amp; Model'!BI53</f>
        <v>0</v>
      </c>
      <c r="D86" s="175">
        <f>'ASM &amp; Model'!BJ53</f>
        <v>0</v>
      </c>
      <c r="E86" s="175">
        <f>'ASM &amp; Model'!BK53</f>
        <v>0.19913284562680006</v>
      </c>
      <c r="F86" s="175">
        <f>'ASM &amp; Model'!BL53</f>
        <v>0.475942346737525</v>
      </c>
      <c r="G86" s="175">
        <f>'ASM &amp; Model'!BM53</f>
        <v>0.47458550380423181</v>
      </c>
      <c r="H86" s="175">
        <f>'ASM &amp; Model'!BN53</f>
        <v>0.23200914295392239</v>
      </c>
      <c r="I86" s="175">
        <f>'ASM &amp; Model'!BO53</f>
        <v>0.23332785242185494</v>
      </c>
      <c r="J86" s="175">
        <f>'ASM &amp; Model'!BP53</f>
        <v>0.24593004361536508</v>
      </c>
      <c r="K86" s="175">
        <f>'ASM &amp; Model'!BQ53</f>
        <v>9.7511813913056855E-2</v>
      </c>
      <c r="L86" s="175">
        <f>'ASM &amp; Model'!BR53</f>
        <v>0.10795020641987474</v>
      </c>
      <c r="M86" s="175">
        <f>'ASM &amp; Model'!BS53</f>
        <v>4.5092426138824138E-2</v>
      </c>
      <c r="N86" s="175">
        <f>'ASM &amp; Model'!BT53</f>
        <v>-1.7568780085534641E-2</v>
      </c>
      <c r="O86" s="175">
        <f>'ASM &amp; Model'!BU53</f>
        <v>-8.9734698899270882E-3</v>
      </c>
      <c r="P86" s="175">
        <f>'ASM &amp; Model'!BV53</f>
        <v>-0.71425911012351406</v>
      </c>
      <c r="R86" s="1" t="s">
        <v>7</v>
      </c>
    </row>
    <row r="87" spans="2:18" ht="19.850000000000001" customHeight="1" x14ac:dyDescent="0.4">
      <c r="B87" s="24" t="str">
        <f>'ASM &amp; Model'!BH54</f>
        <v>Global ARPU ($)</v>
      </c>
      <c r="C87" s="108">
        <f>'ASM &amp; Model'!BI54</f>
        <v>2.2885581395348837</v>
      </c>
      <c r="D87" s="108">
        <f>'ASM &amp; Model'!BJ54</f>
        <v>2.9465037593984964</v>
      </c>
      <c r="E87" s="108">
        <f>'ASM &amp; Model'!BK54</f>
        <v>3.7771865443425074</v>
      </c>
      <c r="F87" s="108">
        <f>'ASM &amp; Model'!BL54</f>
        <v>4.8650457516339864</v>
      </c>
      <c r="G87" s="108">
        <f>'ASM &amp; Model'!BM54</f>
        <v>6.3763837209302325</v>
      </c>
      <c r="H87" s="108">
        <f>'ASM &amp; Model'!BN54</f>
        <v>8.1329188900747074</v>
      </c>
      <c r="I87" s="108">
        <f>'ASM &amp; Model'!BO54</f>
        <v>10.116476476476477</v>
      </c>
      <c r="J87" s="108">
        <f>'ASM &amp; Model'!BP54</f>
        <v>12.269556297709924</v>
      </c>
      <c r="K87" s="108">
        <f>'ASM &amp; Model'!BQ54</f>
        <v>14.447449633699634</v>
      </c>
      <c r="L87" s="108">
        <f>'ASM &amp; Model'!BR54</f>
        <v>16.625028697571743</v>
      </c>
      <c r="M87" s="108">
        <f>'ASM &amp; Model'!BS54</f>
        <v>18.756160752458317</v>
      </c>
      <c r="N87" s="108">
        <f>'ASM &amp; Model'!BT54</f>
        <v>20.778222130128469</v>
      </c>
      <c r="O87" s="108">
        <f>'ASM &amp; Model'!BU54</f>
        <v>22.702364294330522</v>
      </c>
      <c r="P87" s="108">
        <f>'ASM &amp; Model'!BV54</f>
        <v>23.939769621241702</v>
      </c>
      <c r="R87" s="1" t="s">
        <v>7</v>
      </c>
    </row>
    <row r="88" spans="2:18" ht="19.850000000000001" customHeight="1" x14ac:dyDescent="0.4">
      <c r="B88" s="3" t="str">
        <f>'ASM &amp; Model'!BH56</f>
        <v>YoY Increase / (Decease)</v>
      </c>
      <c r="C88" s="113">
        <f>'ASM &amp; Model'!BI56</f>
        <v>0</v>
      </c>
      <c r="D88" s="113">
        <f>'ASM &amp; Model'!BJ56</f>
        <v>0.65794561986361266</v>
      </c>
      <c r="E88" s="113">
        <f>'ASM &amp; Model'!BK56</f>
        <v>0.83068278494401104</v>
      </c>
      <c r="F88" s="113">
        <f>'ASM &amp; Model'!BL56</f>
        <v>1.087859207291479</v>
      </c>
      <c r="G88" s="113">
        <f>'ASM &amp; Model'!BM56</f>
        <v>1.5113379692962461</v>
      </c>
      <c r="H88" s="113">
        <f>'ASM &amp; Model'!BN56</f>
        <v>1.7565351691444748</v>
      </c>
      <c r="I88" s="113">
        <f>'ASM &amp; Model'!BO56</f>
        <v>1.9835575864017692</v>
      </c>
      <c r="J88" s="113">
        <f>'ASM &amp; Model'!BP56</f>
        <v>2.1530798212334474</v>
      </c>
      <c r="K88" s="113">
        <f>'ASM &amp; Model'!BQ56</f>
        <v>2.1778933359897099</v>
      </c>
      <c r="L88" s="113">
        <f>'ASM &amp; Model'!BR56</f>
        <v>2.1775790638721091</v>
      </c>
      <c r="M88" s="113">
        <f>'ASM &amp; Model'!BS56</f>
        <v>2.1311320548865744</v>
      </c>
      <c r="N88" s="113">
        <f>'ASM &amp; Model'!BT56</f>
        <v>2.0220613776701519</v>
      </c>
      <c r="O88" s="113">
        <f>'ASM &amp; Model'!BU56</f>
        <v>1.9241421642020526</v>
      </c>
      <c r="P88" s="113">
        <f>'ASM &amp; Model'!BV56</f>
        <v>1.2374053269111798</v>
      </c>
      <c r="R88" s="1" t="s">
        <v>7</v>
      </c>
    </row>
    <row r="89" spans="2:18" ht="19.850000000000001" customHeight="1" x14ac:dyDescent="0.4">
      <c r="B89" s="236" t="str">
        <f>'ASM &amp; Model'!BH57</f>
        <v>2nd Derivative</v>
      </c>
      <c r="C89" s="113">
        <f>'ASM &amp; Model'!BI57</f>
        <v>0</v>
      </c>
      <c r="D89" s="113">
        <f>'ASM &amp; Model'!BJ57</f>
        <v>0</v>
      </c>
      <c r="E89" s="113">
        <f>'ASM &amp; Model'!BK57</f>
        <v>0.17273716508039838</v>
      </c>
      <c r="F89" s="113">
        <f>'ASM &amp; Model'!BL57</f>
        <v>0.25717642234746796</v>
      </c>
      <c r="G89" s="113">
        <f>'ASM &amp; Model'!BM57</f>
        <v>0.42347876200476708</v>
      </c>
      <c r="H89" s="113">
        <f>'ASM &amp; Model'!BN57</f>
        <v>0.24519719984822874</v>
      </c>
      <c r="I89" s="113">
        <f>'ASM &amp; Model'!BO57</f>
        <v>0.22702241725729433</v>
      </c>
      <c r="J89" s="113">
        <f>'ASM &amp; Model'!BP57</f>
        <v>0.16952223483167828</v>
      </c>
      <c r="K89" s="113">
        <f>'ASM &amp; Model'!BQ57</f>
        <v>2.4813514756262478E-2</v>
      </c>
      <c r="L89" s="113">
        <f>'ASM &amp; Model'!BR57</f>
        <v>-3.142721176008223E-4</v>
      </c>
      <c r="M89" s="113">
        <f>'ASM &amp; Model'!BS57</f>
        <v>-4.6447008985534666E-2</v>
      </c>
      <c r="N89" s="113">
        <f>'ASM &amp; Model'!BT57</f>
        <v>-0.1090706772164225</v>
      </c>
      <c r="O89" s="113">
        <f>'ASM &amp; Model'!BU57</f>
        <v>-9.7919213468099287E-2</v>
      </c>
      <c r="P89" s="113">
        <f>'ASM &amp; Model'!BV57</f>
        <v>-0.68673683729087287</v>
      </c>
      <c r="R89" s="1" t="s">
        <v>7</v>
      </c>
    </row>
    <row r="90" spans="2:18" ht="19.850000000000001" customHeight="1" x14ac:dyDescent="0.4">
      <c r="B90" s="126" t="str">
        <f>'ASM &amp; Model'!BH58</f>
        <v xml:space="preserve">Platform Economics 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R90" s="1" t="s">
        <v>7</v>
      </c>
    </row>
    <row r="91" spans="2:18" ht="19.850000000000001" customHeight="1" x14ac:dyDescent="0.4">
      <c r="B91" s="180" t="str">
        <f>'ASM &amp; Model'!BH59</f>
        <v>From User Base Perspective</v>
      </c>
      <c r="R91" s="1" t="s">
        <v>7</v>
      </c>
    </row>
    <row r="92" spans="2:18" ht="19.850000000000001" customHeight="1" x14ac:dyDescent="0.4">
      <c r="B92" s="24" t="str">
        <f>'ASM &amp; Model'!BH60</f>
        <v>Cost of Revenue / Global MAU ($)</v>
      </c>
      <c r="C92" s="108">
        <f>'ASM &amp; Model'!BI60</f>
        <v>0.83099534883720938</v>
      </c>
      <c r="D92" s="108">
        <f>'ASM &amp; Model'!BJ60</f>
        <v>0.90821052631578947</v>
      </c>
      <c r="E92" s="108">
        <f>'ASM &amp; Model'!BK60</f>
        <v>1.2279297808615905</v>
      </c>
      <c r="F92" s="108">
        <f>'ASM &amp; Model'!BL60</f>
        <v>1.5548773246626937</v>
      </c>
      <c r="G92" s="108">
        <f>'ASM &amp; Model'!BM60</f>
        <v>1.9760706434499544</v>
      </c>
      <c r="H92" s="108">
        <f>'ASM &amp; Model'!BN60</f>
        <v>2.4422001103169264</v>
      </c>
      <c r="I92" s="108">
        <f>'ASM &amp; Model'!BO60</f>
        <v>2.9294296296296292</v>
      </c>
      <c r="J92" s="108">
        <f>'ASM &amp; Model'!BP60</f>
        <v>3.4367299141221364</v>
      </c>
      <c r="K92" s="108">
        <f>'ASM &amp; Model'!BQ60</f>
        <v>3.907507783882783</v>
      </c>
      <c r="L92" s="108">
        <f>'ASM &amp; Model'!BR60</f>
        <v>4.5008218543046361</v>
      </c>
      <c r="M92" s="108">
        <f>'ASM &amp; Model'!BS60</f>
        <v>5.0813828559213343</v>
      </c>
      <c r="N92" s="108">
        <f>'ASM &amp; Model'!BT60</f>
        <v>5.6319276833816838</v>
      </c>
      <c r="O92" s="108">
        <f>'ASM &amp; Model'!BU60</f>
        <v>6.155668878166467</v>
      </c>
      <c r="P92" s="108">
        <f>'ASM &amp; Model'!BV60</f>
        <v>6.4908436157750877</v>
      </c>
      <c r="R92" s="1" t="s">
        <v>7</v>
      </c>
    </row>
    <row r="93" spans="2:18" ht="19.850000000000001" customHeight="1" x14ac:dyDescent="0.4">
      <c r="B93" s="235" t="str">
        <f>'ASM &amp; Model'!BH61</f>
        <v>S&amp;M Exp. / Global MAU ($)</v>
      </c>
      <c r="C93" s="174">
        <f>'ASM &amp; Model'!BI61</f>
        <v>0.75587906976744179</v>
      </c>
      <c r="D93" s="174">
        <f>'ASM &amp; Model'!BJ61</f>
        <v>0.97717669172932331</v>
      </c>
      <c r="E93" s="174">
        <f>'ASM &amp; Model'!BK61</f>
        <v>1.9263806676690731</v>
      </c>
      <c r="F93" s="174">
        <f>'ASM &amp; Model'!BL61</f>
        <v>1.7240073857008467</v>
      </c>
      <c r="G93" s="174">
        <f>'ASM &amp; Model'!BM61</f>
        <v>2.1251052737048228</v>
      </c>
      <c r="H93" s="174">
        <f>'ASM &amp; Model'!BN61</f>
        <v>2.5599914123651519</v>
      </c>
      <c r="I93" s="174">
        <f>'ASM &amp; Model'!BO61</f>
        <v>2.9836773794294289</v>
      </c>
      <c r="J93" s="174">
        <f>'ASM &amp; Model'!BP61</f>
        <v>3.4991993455391213</v>
      </c>
      <c r="K93" s="174">
        <f>'ASM &amp; Model'!BQ61</f>
        <v>4.0506584058722508</v>
      </c>
      <c r="L93" s="174">
        <f>'ASM &amp; Model'!BR61</f>
        <v>4.5802039022847669</v>
      </c>
      <c r="M93" s="174">
        <f>'ASM &amp; Model'!BS61</f>
        <v>5.0753095161073087</v>
      </c>
      <c r="N93" s="174">
        <f>'ASM &amp; Model'!BT61</f>
        <v>5.5198912849668442</v>
      </c>
      <c r="O93" s="174">
        <f>'ASM &amp; Model'!BU61</f>
        <v>5.9185877908624835</v>
      </c>
      <c r="P93" s="174">
        <f>'ASM &amp; Model'!BV61</f>
        <v>6.1212532595177649</v>
      </c>
      <c r="R93" s="1" t="s">
        <v>7</v>
      </c>
    </row>
    <row r="94" spans="2:18" ht="19.850000000000001" customHeight="1" x14ac:dyDescent="0.4">
      <c r="B94" s="24" t="str">
        <f>'ASM &amp; Model'!BH62</f>
        <v>Unit Cost to Serve &amp; Acquire &amp; Retain</v>
      </c>
      <c r="C94" s="108">
        <f>'ASM &amp; Model'!BI62</f>
        <v>1.5868744186046513</v>
      </c>
      <c r="D94" s="108">
        <f>'ASM &amp; Model'!BJ62</f>
        <v>1.8853872180451128</v>
      </c>
      <c r="E94" s="108">
        <f>'ASM &amp; Model'!BK62</f>
        <v>3.1543104485306639</v>
      </c>
      <c r="F94" s="108">
        <f>'ASM &amp; Model'!BL62</f>
        <v>3.2788847103635401</v>
      </c>
      <c r="G94" s="108">
        <f>'ASM &amp; Model'!BM62</f>
        <v>4.1011759171547775</v>
      </c>
      <c r="H94" s="108">
        <f>'ASM &amp; Model'!BN62</f>
        <v>5.0021915226820788</v>
      </c>
      <c r="I94" s="108">
        <f>'ASM &amp; Model'!BO62</f>
        <v>5.9131070090590576</v>
      </c>
      <c r="J94" s="108">
        <f>'ASM &amp; Model'!BP62</f>
        <v>6.9359292596612576</v>
      </c>
      <c r="K94" s="108">
        <f>'ASM &amp; Model'!BQ62</f>
        <v>7.9581661897550333</v>
      </c>
      <c r="L94" s="108">
        <f>'ASM &amp; Model'!BR62</f>
        <v>9.081025756589403</v>
      </c>
      <c r="M94" s="108">
        <f>'ASM &amp; Model'!BS62</f>
        <v>10.156692372028644</v>
      </c>
      <c r="N94" s="108">
        <f>'ASM &amp; Model'!BT62</f>
        <v>11.151818968348529</v>
      </c>
      <c r="O94" s="108">
        <f>'ASM &amp; Model'!BU62</f>
        <v>12.074256669028951</v>
      </c>
      <c r="P94" s="108">
        <f>'ASM &amp; Model'!BV62</f>
        <v>12.612096875292853</v>
      </c>
      <c r="R94" s="1" t="s">
        <v>7</v>
      </c>
    </row>
    <row r="95" spans="2:18" ht="19.850000000000001" customHeight="1" x14ac:dyDescent="0.4">
      <c r="B95" s="3" t="str">
        <f>'ASM &amp; Model'!BH63</f>
        <v>CM1</v>
      </c>
      <c r="C95" s="4">
        <f>'ASM &amp; Model'!BI63</f>
        <v>0.63689130964962193</v>
      </c>
      <c r="D95" s="4">
        <f>'ASM &amp; Model'!BJ63</f>
        <v>0.6917667172767521</v>
      </c>
      <c r="E95" s="4">
        <f>'ASM &amp; Model'!BK63</f>
        <v>0.6749088861653415</v>
      </c>
      <c r="F95" s="4">
        <f>'ASM &amp; Model'!BL63</f>
        <v>0.68039821123152466</v>
      </c>
      <c r="G95" s="4">
        <f>'ASM &amp; Model'!BM63</f>
        <v>0.69009540047541695</v>
      </c>
      <c r="H95" s="4">
        <f>'ASM &amp; Model'!BN63</f>
        <v>0.69971419322804862</v>
      </c>
      <c r="I95" s="4">
        <f>'ASM &amp; Model'!BO63</f>
        <v>0.71042984813523369</v>
      </c>
      <c r="J95" s="4">
        <f>'ASM &amp; Model'!BP63</f>
        <v>0.71989778352754363</v>
      </c>
      <c r="K95" s="4">
        <f>'ASM &amp; Model'!BQ63</f>
        <v>0.7295365007005622</v>
      </c>
      <c r="L95" s="4">
        <f>'ASM &amp; Model'!BR63</f>
        <v>0.72927434074372288</v>
      </c>
      <c r="M95" s="4">
        <f>'ASM &amp; Model'!BS63</f>
        <v>0.72908193083942663</v>
      </c>
      <c r="N95" s="4">
        <f>'ASM &amp; Model'!BT63</f>
        <v>0.72895045359942634</v>
      </c>
      <c r="O95" s="4">
        <f>'ASM &amp; Model'!BU63</f>
        <v>0.72885340053750591</v>
      </c>
      <c r="P95" s="4">
        <f>'ASM &amp; Model'!BV63</f>
        <v>0.72886774941995358</v>
      </c>
      <c r="R95" s="1" t="s">
        <v>7</v>
      </c>
    </row>
    <row r="96" spans="2:18" ht="19.850000000000001" customHeight="1" x14ac:dyDescent="0.4">
      <c r="B96" s="3" t="str">
        <f>'ASM &amp; Model'!BH64</f>
        <v>CM2</v>
      </c>
      <c r="C96" s="4">
        <f>'ASM &amp; Model'!BI64</f>
        <v>0.30660515405251598</v>
      </c>
      <c r="D96" s="4">
        <f>'ASM &amp; Model'!BJ64</f>
        <v>0.36012733327379209</v>
      </c>
      <c r="E96" s="4">
        <f>'ASM &amp; Model'!BK64</f>
        <v>0.16490477462512174</v>
      </c>
      <c r="F96" s="4">
        <f>'ASM &amp; Model'!BL64</f>
        <v>0.32603209142230866</v>
      </c>
      <c r="G96" s="4">
        <f>'ASM &amp; Model'!BM64</f>
        <v>0.35681789292372312</v>
      </c>
      <c r="H96" s="4">
        <f>'ASM &amp; Model'!BN64</f>
        <v>0.38494511130724807</v>
      </c>
      <c r="I96" s="4">
        <f>'ASM &amp; Model'!BO64</f>
        <v>0.41549737966488443</v>
      </c>
      <c r="J96" s="4">
        <f>'ASM &amp; Model'!BP64</f>
        <v>0.43470414973719723</v>
      </c>
      <c r="K96" s="4">
        <f>'ASM &amp; Model'!BQ64</f>
        <v>0.44916463517601868</v>
      </c>
      <c r="L96" s="4">
        <f>'ASM &amp; Model'!BR64</f>
        <v>0.45377382970077035</v>
      </c>
      <c r="M96" s="4">
        <f>'ASM &amp; Model'!BS64</f>
        <v>0.45848766674184988</v>
      </c>
      <c r="N96" s="4">
        <f>'ASM &amp; Model'!BT64</f>
        <v>0.46329291801253941</v>
      </c>
      <c r="O96" s="4">
        <f>'ASM &amp; Model'!BU64</f>
        <v>0.46814981415639317</v>
      </c>
      <c r="P96" s="4">
        <f>'ASM &amp; Model'!BV64</f>
        <v>0.47317384106728544</v>
      </c>
      <c r="R96" s="1" t="s">
        <v>7</v>
      </c>
    </row>
    <row r="97" spans="2:18" ht="19.850000000000001" customHeight="1" x14ac:dyDescent="0.4">
      <c r="B97" s="180" t="str">
        <f>'ASM &amp; Model'!BH65</f>
        <v>From BD Perspective</v>
      </c>
      <c r="R97" s="1" t="s">
        <v>7</v>
      </c>
    </row>
    <row r="98" spans="2:18" ht="19.850000000000001" customHeight="1" x14ac:dyDescent="0.4">
      <c r="B98" s="24" t="str">
        <f>'ASM &amp; Model'!BH66</f>
        <v>Rev_Y / S&amp;M Exp_Y</v>
      </c>
      <c r="C98" s="124">
        <f>'ASM &amp; Model'!BI66</f>
        <v>2.9096077876367574</v>
      </c>
      <c r="D98" s="124">
        <f>'ASM &amp; Model'!BJ66</f>
        <v>2.9082249383485492</v>
      </c>
      <c r="E98" s="124">
        <f>'ASM &amp; Model'!BK66</f>
        <v>1.9252564255108613</v>
      </c>
      <c r="F98" s="124">
        <f>'ASM &amp; Model'!BL66</f>
        <v>2.8219402028003722</v>
      </c>
      <c r="G98" s="124">
        <f>'ASM &amp; Model'!BM66</f>
        <v>3.000502516194834</v>
      </c>
      <c r="H98" s="124">
        <f>'ASM &amp; Model'!BN66</f>
        <v>3.1769320985966818</v>
      </c>
      <c r="I98" s="124">
        <f>'ASM &amp; Model'!BO66</f>
        <v>3.3906066876476633</v>
      </c>
      <c r="J98" s="124">
        <f>'ASM &amp; Model'!BP66</f>
        <v>3.5063896297738801</v>
      </c>
      <c r="K98" s="124">
        <f>'ASM &amp; Model'!BQ66</f>
        <v>3.5666916797415267</v>
      </c>
      <c r="L98" s="124">
        <f>'ASM &amp; Model'!BR66</f>
        <v>3.6297573322616916</v>
      </c>
      <c r="M98" s="124">
        <f>'ASM &amp; Model'!BS66</f>
        <v>3.6955698352844548</v>
      </c>
      <c r="N98" s="124">
        <f>'ASM &amp; Model'!BT66</f>
        <v>3.7642448116173863</v>
      </c>
      <c r="O98" s="124">
        <f>'ASM &amp; Model'!BU66</f>
        <v>3.8357738529079461</v>
      </c>
      <c r="P98" s="124">
        <f>'ASM &amp; Model'!BV66</f>
        <v>3.9109261790497603</v>
      </c>
      <c r="R98" s="1" t="s">
        <v>7</v>
      </c>
    </row>
  </sheetData>
  <mergeCells count="2">
    <mergeCell ref="D52:E52"/>
    <mergeCell ref="L53:P54"/>
  </mergeCells>
  <phoneticPr fontId="2" type="noConversion"/>
  <hyperlinks>
    <hyperlink ref="B3" r:id="rId1" xr:uid="{F4C4E428-1636-42E9-AA1C-CF7DAD7EEBAC}"/>
  </hyperlinks>
  <pageMargins left="0.7" right="0.7" top="0.75" bottom="0.75" header="0.3" footer="0.3"/>
  <pageSetup paperSize="9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7C439-9280-4639-BF57-22A14473EB8E}">
  <dimension ref="B1:L66"/>
  <sheetViews>
    <sheetView topLeftCell="A21" workbookViewId="0">
      <selection activeCell="B63" sqref="B63"/>
    </sheetView>
  </sheetViews>
  <sheetFormatPr defaultRowHeight="14.6" x14ac:dyDescent="0.4"/>
  <cols>
    <col min="1" max="1" width="8.6640625" style="103"/>
    <col min="2" max="2" width="46.4140625" style="103" customWidth="1"/>
    <col min="3" max="3" width="14.9140625" style="103" bestFit="1" customWidth="1"/>
    <col min="4" max="5" width="11.6640625" style="103" bestFit="1" customWidth="1"/>
    <col min="6" max="6" width="10.83203125" style="103" bestFit="1" customWidth="1"/>
    <col min="7" max="7" width="8.6640625" style="103"/>
    <col min="8" max="8" width="80" style="103" bestFit="1" customWidth="1"/>
    <col min="9" max="9" width="36.25" style="103" bestFit="1" customWidth="1"/>
    <col min="10" max="16384" width="8.6640625" style="103"/>
  </cols>
  <sheetData>
    <row r="1" spans="2:12" ht="15.45" x14ac:dyDescent="0.4">
      <c r="C1" s="133" t="s">
        <v>108</v>
      </c>
      <c r="D1" s="133"/>
      <c r="H1"/>
      <c r="I1" s="137">
        <v>43190</v>
      </c>
      <c r="J1" s="137">
        <v>43281</v>
      </c>
      <c r="K1" s="137">
        <v>43555</v>
      </c>
      <c r="L1" s="137">
        <v>43646</v>
      </c>
    </row>
    <row r="2" spans="2:12" ht="15.45" x14ac:dyDescent="0.4">
      <c r="B2" s="103" t="s">
        <v>78</v>
      </c>
      <c r="C2" s="134">
        <v>2017</v>
      </c>
      <c r="D2" s="134">
        <v>2018</v>
      </c>
      <c r="H2" s="138"/>
      <c r="I2" s="134" t="s">
        <v>134</v>
      </c>
      <c r="J2" s="134" t="s">
        <v>135</v>
      </c>
      <c r="K2" s="134" t="s">
        <v>134</v>
      </c>
      <c r="L2" s="134" t="s">
        <v>135</v>
      </c>
    </row>
    <row r="3" spans="2:12" ht="15.45" x14ac:dyDescent="0.4">
      <c r="B3" s="103" t="s">
        <v>79</v>
      </c>
      <c r="H3" s="138"/>
      <c r="I3" s="134">
        <v>2018</v>
      </c>
      <c r="J3" s="134">
        <v>2018</v>
      </c>
      <c r="K3" s="134">
        <v>2019</v>
      </c>
      <c r="L3" s="134">
        <v>2019</v>
      </c>
    </row>
    <row r="4" spans="2:12" ht="15.45" x14ac:dyDescent="0.4">
      <c r="B4" s="103" t="s">
        <v>80</v>
      </c>
      <c r="C4" s="103">
        <v>71468</v>
      </c>
      <c r="D4" s="103">
        <v>122509</v>
      </c>
      <c r="H4" s="138" t="s">
        <v>136</v>
      </c>
      <c r="I4" s="134"/>
      <c r="J4" s="134"/>
      <c r="K4" s="134"/>
      <c r="L4" s="134"/>
    </row>
    <row r="5" spans="2:12" ht="15.45" x14ac:dyDescent="0.4">
      <c r="B5" s="103" t="s">
        <v>81</v>
      </c>
      <c r="C5" s="103">
        <v>640160</v>
      </c>
      <c r="D5" s="103">
        <v>505304</v>
      </c>
      <c r="H5" s="139" t="s">
        <v>137</v>
      </c>
      <c r="I5" s="140">
        <v>-52709</v>
      </c>
      <c r="J5" s="140">
        <v>-91116</v>
      </c>
      <c r="K5" s="140">
        <v>-41420</v>
      </c>
      <c r="L5" s="140">
        <v>-1200921</v>
      </c>
    </row>
    <row r="6" spans="2:12" ht="15.45" x14ac:dyDescent="0.4">
      <c r="B6" s="135" t="s">
        <v>82</v>
      </c>
      <c r="C6" s="135">
        <v>136597</v>
      </c>
      <c r="D6" s="135">
        <v>221932</v>
      </c>
      <c r="F6" s="103">
        <f>C6+C7+C10+C12+C13-C17-C18-C20-C21</f>
        <v>111015</v>
      </c>
      <c r="G6" s="103">
        <f>D6+D7+D10+D12+D13-D17-D18-D20-D21</f>
        <v>147440</v>
      </c>
      <c r="H6" s="138" t="s">
        <v>138</v>
      </c>
      <c r="I6" s="134"/>
      <c r="J6" s="134"/>
      <c r="K6" s="134"/>
      <c r="L6" s="134"/>
    </row>
    <row r="7" spans="2:12" ht="15.45" x14ac:dyDescent="0.4">
      <c r="B7" s="135" t="s">
        <v>83</v>
      </c>
      <c r="C7" s="135">
        <v>38734</v>
      </c>
      <c r="D7" s="135">
        <v>39607</v>
      </c>
      <c r="H7" s="139" t="s">
        <v>139</v>
      </c>
      <c r="I7" s="141">
        <v>4787</v>
      </c>
      <c r="J7" s="141">
        <v>10298</v>
      </c>
      <c r="K7" s="141">
        <v>5696</v>
      </c>
      <c r="L7" s="141">
        <v>12203</v>
      </c>
    </row>
    <row r="8" spans="2:12" ht="15.45" x14ac:dyDescent="0.4">
      <c r="B8" s="103" t="s">
        <v>84</v>
      </c>
      <c r="C8" s="103">
        <v>886959</v>
      </c>
      <c r="D8" s="103">
        <v>889352</v>
      </c>
      <c r="H8" s="139" t="s">
        <v>140</v>
      </c>
      <c r="I8" s="141">
        <v>4834</v>
      </c>
      <c r="J8" s="141">
        <v>8793</v>
      </c>
      <c r="K8" s="141">
        <v>694</v>
      </c>
      <c r="L8" s="141">
        <v>1135293</v>
      </c>
    </row>
    <row r="9" spans="2:12" ht="15.45" x14ac:dyDescent="0.4">
      <c r="B9" s="136" t="s">
        <v>85</v>
      </c>
      <c r="C9" s="136">
        <v>87255</v>
      </c>
      <c r="D9" s="136">
        <v>81512</v>
      </c>
      <c r="H9" s="139" t="s">
        <v>141</v>
      </c>
      <c r="I9" s="141">
        <v>654</v>
      </c>
      <c r="J9" s="141">
        <v>1287</v>
      </c>
      <c r="K9" s="141">
        <v>-993</v>
      </c>
      <c r="L9" s="141">
        <v>-2713</v>
      </c>
    </row>
    <row r="10" spans="2:12" ht="15.45" x14ac:dyDescent="0.4">
      <c r="B10" s="135" t="s">
        <v>86</v>
      </c>
      <c r="C10" s="135">
        <v>152257</v>
      </c>
      <c r="D10" s="135">
        <v>145203</v>
      </c>
      <c r="H10" s="138" t="s">
        <v>142</v>
      </c>
      <c r="I10" s="134"/>
      <c r="J10" s="134"/>
      <c r="K10" s="134"/>
      <c r="L10" s="134"/>
    </row>
    <row r="11" spans="2:12" ht="15.45" x14ac:dyDescent="0.4">
      <c r="B11" s="103" t="s">
        <v>87</v>
      </c>
      <c r="C11" s="103">
        <v>9037</v>
      </c>
      <c r="D11" s="103">
        <v>14071</v>
      </c>
      <c r="H11" s="139" t="s">
        <v>143</v>
      </c>
      <c r="I11" s="141">
        <v>39309</v>
      </c>
      <c r="J11" s="141">
        <v>14599</v>
      </c>
      <c r="K11" s="141">
        <v>61329</v>
      </c>
      <c r="L11" s="141">
        <v>19615</v>
      </c>
    </row>
    <row r="12" spans="2:12" ht="15.45" x14ac:dyDescent="0.4">
      <c r="B12" s="135" t="s">
        <v>88</v>
      </c>
      <c r="C12" s="135">
        <v>11650</v>
      </c>
      <c r="D12" s="135">
        <v>11724</v>
      </c>
      <c r="H12" s="139" t="s">
        <v>144</v>
      </c>
      <c r="I12" s="141">
        <v>7102</v>
      </c>
      <c r="J12" s="141">
        <v>11303</v>
      </c>
      <c r="K12" s="141">
        <v>510</v>
      </c>
      <c r="L12" s="141">
        <v>-6174</v>
      </c>
    </row>
    <row r="13" spans="2:12" ht="15.45" x14ac:dyDescent="0.4">
      <c r="B13" s="135" t="s">
        <v>89</v>
      </c>
      <c r="C13" s="135">
        <v>25887</v>
      </c>
      <c r="D13" s="135">
        <v>10869</v>
      </c>
      <c r="H13" s="139" t="s">
        <v>86</v>
      </c>
      <c r="I13" s="141">
        <v>4551</v>
      </c>
      <c r="J13" s="141">
        <v>9063</v>
      </c>
      <c r="K13" s="141">
        <v>6427</v>
      </c>
      <c r="L13" s="141">
        <v>14040</v>
      </c>
    </row>
    <row r="14" spans="2:12" ht="15.45" x14ac:dyDescent="0.4">
      <c r="B14" s="103" t="s">
        <v>90</v>
      </c>
      <c r="C14" s="103">
        <v>1173045</v>
      </c>
      <c r="D14" s="103">
        <v>1152731</v>
      </c>
      <c r="H14" s="139" t="s">
        <v>93</v>
      </c>
      <c r="I14" s="141">
        <v>4484</v>
      </c>
      <c r="J14" s="141">
        <v>3286</v>
      </c>
      <c r="K14" s="141">
        <v>7481</v>
      </c>
      <c r="L14" s="141">
        <v>7189</v>
      </c>
    </row>
    <row r="15" spans="2:12" ht="15.45" x14ac:dyDescent="0.4">
      <c r="B15" s="103" t="s">
        <v>91</v>
      </c>
      <c r="H15" s="139" t="s">
        <v>145</v>
      </c>
      <c r="I15" s="141">
        <v>2696</v>
      </c>
      <c r="J15" s="141">
        <v>10704</v>
      </c>
      <c r="K15" s="141">
        <v>-2024</v>
      </c>
      <c r="L15" s="141">
        <v>15310</v>
      </c>
    </row>
    <row r="16" spans="2:12" ht="15.45" x14ac:dyDescent="0.4">
      <c r="B16" s="103" t="s">
        <v>92</v>
      </c>
      <c r="H16" s="139" t="s">
        <v>96</v>
      </c>
      <c r="I16" s="141">
        <v>-2174</v>
      </c>
      <c r="J16" s="141">
        <v>-7044</v>
      </c>
      <c r="K16" s="141">
        <v>-4578</v>
      </c>
      <c r="L16" s="141">
        <v>-10217</v>
      </c>
    </row>
    <row r="17" spans="2:12" ht="15.45" x14ac:dyDescent="0.4">
      <c r="B17" s="135" t="s">
        <v>93</v>
      </c>
      <c r="C17" s="135">
        <v>15428</v>
      </c>
      <c r="D17" s="135">
        <v>22169</v>
      </c>
      <c r="H17" s="139" t="s">
        <v>146</v>
      </c>
      <c r="I17" s="141">
        <v>13534</v>
      </c>
      <c r="J17" s="141">
        <v>-28827</v>
      </c>
      <c r="K17" s="141">
        <v>33122</v>
      </c>
      <c r="L17" s="141">
        <v>-16375</v>
      </c>
    </row>
    <row r="18" spans="2:12" ht="15.45" x14ac:dyDescent="0.4">
      <c r="B18" s="135" t="s">
        <v>94</v>
      </c>
      <c r="C18" s="135">
        <v>64374</v>
      </c>
      <c r="D18" s="135">
        <v>86258</v>
      </c>
      <c r="H18" s="138" t="s">
        <v>147</v>
      </c>
      <c r="I18" s="134"/>
      <c r="J18" s="134"/>
      <c r="K18" s="134"/>
      <c r="L18" s="134"/>
    </row>
    <row r="19" spans="2:12" ht="15.45" x14ac:dyDescent="0.4">
      <c r="B19" s="103" t="s">
        <v>95</v>
      </c>
      <c r="C19" s="103">
        <v>79802</v>
      </c>
      <c r="D19" s="103">
        <v>108427</v>
      </c>
      <c r="H19" s="139" t="s">
        <v>148</v>
      </c>
      <c r="I19" s="141">
        <v>-8240</v>
      </c>
      <c r="J19" s="141">
        <v>-13585</v>
      </c>
      <c r="K19" s="141">
        <v>-3706</v>
      </c>
      <c r="L19" s="141">
        <v>-11914</v>
      </c>
    </row>
    <row r="20" spans="2:12" ht="15.45" x14ac:dyDescent="0.4">
      <c r="B20" s="135" t="s">
        <v>96</v>
      </c>
      <c r="C20" s="135">
        <v>162273</v>
      </c>
      <c r="D20" s="135">
        <v>151395</v>
      </c>
      <c r="H20" s="139" t="s">
        <v>149</v>
      </c>
      <c r="I20" s="141">
        <v>-83569</v>
      </c>
      <c r="J20" s="141">
        <v>-298425</v>
      </c>
      <c r="K20" s="141">
        <v>-113952</v>
      </c>
      <c r="L20" s="141">
        <v>-159315</v>
      </c>
    </row>
    <row r="21" spans="2:12" ht="15.45" x14ac:dyDescent="0.4">
      <c r="B21" s="135" t="s">
        <v>97</v>
      </c>
      <c r="C21" s="135">
        <v>12035</v>
      </c>
      <c r="D21" s="135">
        <v>22073</v>
      </c>
      <c r="H21" s="139" t="s">
        <v>150</v>
      </c>
      <c r="I21" s="141">
        <v>36408</v>
      </c>
      <c r="J21" s="141">
        <v>42392</v>
      </c>
      <c r="K21" s="141">
        <v>28953</v>
      </c>
      <c r="L21" s="141">
        <v>60239</v>
      </c>
    </row>
    <row r="22" spans="2:12" ht="15.45" x14ac:dyDescent="0.4">
      <c r="B22" s="103" t="s">
        <v>98</v>
      </c>
      <c r="C22" s="103">
        <v>254110</v>
      </c>
      <c r="D22" s="103">
        <v>281895</v>
      </c>
      <c r="H22" s="139" t="s">
        <v>151</v>
      </c>
      <c r="I22" s="141">
        <v>142428</v>
      </c>
      <c r="J22" s="141">
        <v>338028</v>
      </c>
      <c r="K22" s="141">
        <v>84883</v>
      </c>
      <c r="L22" s="141">
        <v>166288</v>
      </c>
    </row>
    <row r="23" spans="2:12" ht="15.45" x14ac:dyDescent="0.4">
      <c r="B23" s="103" t="s">
        <v>99</v>
      </c>
      <c r="H23" s="139" t="s">
        <v>152</v>
      </c>
      <c r="I23" s="141">
        <v>87027</v>
      </c>
      <c r="J23" s="141">
        <v>68410</v>
      </c>
      <c r="K23" s="141">
        <v>-3822</v>
      </c>
      <c r="L23" s="141">
        <v>55298</v>
      </c>
    </row>
    <row r="24" spans="2:12" ht="15.45" x14ac:dyDescent="0.4">
      <c r="B24" s="103" t="s">
        <v>100</v>
      </c>
      <c r="C24" s="103">
        <v>1465399</v>
      </c>
      <c r="D24" s="103">
        <v>1465399</v>
      </c>
      <c r="H24" s="138" t="s">
        <v>153</v>
      </c>
      <c r="I24" s="134"/>
      <c r="J24" s="134"/>
      <c r="K24" s="134"/>
      <c r="L24" s="134"/>
    </row>
    <row r="25" spans="2:12" ht="15.45" x14ac:dyDescent="0.4">
      <c r="B25" s="103" t="s">
        <v>101</v>
      </c>
      <c r="H25" s="139" t="s">
        <v>154</v>
      </c>
      <c r="I25" s="142"/>
      <c r="J25" s="141">
        <v>0</v>
      </c>
      <c r="K25" s="142"/>
      <c r="L25" s="141">
        <v>1573200</v>
      </c>
    </row>
    <row r="26" spans="2:12" ht="15.45" x14ac:dyDescent="0.4">
      <c r="B26" s="103" t="s">
        <v>102</v>
      </c>
      <c r="C26" s="103">
        <v>1</v>
      </c>
      <c r="D26" s="103">
        <v>1</v>
      </c>
      <c r="H26" s="139" t="s">
        <v>155</v>
      </c>
      <c r="I26" s="141">
        <v>435</v>
      </c>
      <c r="J26" s="141">
        <v>861</v>
      </c>
      <c r="K26" s="141">
        <v>110</v>
      </c>
      <c r="L26" s="141">
        <v>702</v>
      </c>
    </row>
    <row r="27" spans="2:12" ht="15.45" x14ac:dyDescent="0.4">
      <c r="B27" s="103" t="s">
        <v>103</v>
      </c>
      <c r="C27" s="103">
        <v>236682</v>
      </c>
      <c r="D27" s="103">
        <v>252212</v>
      </c>
      <c r="H27" s="139" t="s">
        <v>156</v>
      </c>
      <c r="I27" s="142"/>
      <c r="J27" s="141">
        <v>0</v>
      </c>
      <c r="K27" s="142"/>
      <c r="L27" s="141">
        <v>-302675</v>
      </c>
    </row>
    <row r="28" spans="2:12" ht="15.45" x14ac:dyDescent="0.4">
      <c r="B28" s="103" t="s">
        <v>104</v>
      </c>
      <c r="C28" s="103">
        <v>-766</v>
      </c>
      <c r="D28" s="103">
        <v>-1421</v>
      </c>
      <c r="H28" s="139" t="s">
        <v>157</v>
      </c>
      <c r="I28" s="141">
        <v>0</v>
      </c>
      <c r="J28" s="142"/>
      <c r="K28" s="141">
        <v>-3279</v>
      </c>
      <c r="L28" s="142"/>
    </row>
    <row r="29" spans="2:12" ht="15.45" x14ac:dyDescent="0.4">
      <c r="B29" s="103" t="s">
        <v>105</v>
      </c>
      <c r="C29" s="103">
        <v>-782381</v>
      </c>
      <c r="D29" s="103">
        <v>-845355</v>
      </c>
      <c r="H29" s="139" t="s">
        <v>158</v>
      </c>
      <c r="I29" s="142"/>
      <c r="J29" s="141">
        <v>0</v>
      </c>
      <c r="K29" s="142"/>
      <c r="L29" s="141">
        <v>-10103</v>
      </c>
    </row>
    <row r="30" spans="2:12" ht="15.45" x14ac:dyDescent="0.4">
      <c r="B30" s="103" t="s">
        <v>106</v>
      </c>
      <c r="C30" s="103">
        <v>-546464</v>
      </c>
      <c r="D30" s="103">
        <v>-594563</v>
      </c>
      <c r="H30" s="139" t="s">
        <v>159</v>
      </c>
      <c r="I30" s="141">
        <v>435</v>
      </c>
      <c r="J30" s="141">
        <v>861</v>
      </c>
      <c r="K30" s="141">
        <v>-3169</v>
      </c>
      <c r="L30" s="141">
        <v>1261124</v>
      </c>
    </row>
    <row r="31" spans="2:12" ht="15.45" x14ac:dyDescent="0.4">
      <c r="B31" s="103" t="s">
        <v>107</v>
      </c>
      <c r="C31" s="103">
        <v>1173045</v>
      </c>
      <c r="D31" s="103">
        <v>1152731</v>
      </c>
      <c r="H31" s="139" t="s">
        <v>160</v>
      </c>
      <c r="I31" s="141">
        <v>48</v>
      </c>
      <c r="J31" s="141">
        <v>-110</v>
      </c>
      <c r="K31" s="141">
        <v>8</v>
      </c>
      <c r="L31" s="141">
        <v>-17</v>
      </c>
    </row>
    <row r="32" spans="2:12" ht="15.45" x14ac:dyDescent="0.4">
      <c r="H32" s="139" t="s">
        <v>161</v>
      </c>
      <c r="I32" s="141">
        <v>101044</v>
      </c>
      <c r="J32" s="141">
        <v>40334</v>
      </c>
      <c r="K32" s="141">
        <v>26139</v>
      </c>
      <c r="L32" s="141">
        <v>1300030</v>
      </c>
    </row>
    <row r="33" spans="2:12" ht="15.45" x14ac:dyDescent="0.4">
      <c r="B33"/>
      <c r="C33" s="137">
        <v>43465</v>
      </c>
      <c r="D33" s="137">
        <v>43555</v>
      </c>
      <c r="E33" s="137">
        <v>43646</v>
      </c>
      <c r="H33" s="139" t="s">
        <v>162</v>
      </c>
      <c r="I33" s="141">
        <v>83969</v>
      </c>
      <c r="J33" s="141">
        <v>83969</v>
      </c>
      <c r="K33" s="141">
        <v>135290</v>
      </c>
      <c r="L33" s="141">
        <v>135290</v>
      </c>
    </row>
    <row r="34" spans="2:12" ht="15.45" x14ac:dyDescent="0.4">
      <c r="B34" s="138"/>
      <c r="C34" s="134" t="s">
        <v>108</v>
      </c>
      <c r="D34" s="134" t="s">
        <v>112</v>
      </c>
      <c r="E34" s="134" t="s">
        <v>113</v>
      </c>
      <c r="H34" s="139" t="s">
        <v>163</v>
      </c>
      <c r="I34" s="140">
        <v>185013</v>
      </c>
      <c r="J34" s="140">
        <v>124303</v>
      </c>
      <c r="K34" s="140">
        <v>161429</v>
      </c>
      <c r="L34" s="140">
        <v>1435320</v>
      </c>
    </row>
    <row r="35" spans="2:12" ht="15.45" x14ac:dyDescent="0.4">
      <c r="B35" s="138"/>
      <c r="C35" s="134">
        <v>2018</v>
      </c>
      <c r="D35" s="134">
        <v>2019</v>
      </c>
      <c r="E35" s="134">
        <v>2019</v>
      </c>
      <c r="H35" s="138" t="s">
        <v>164</v>
      </c>
      <c r="I35" s="134"/>
      <c r="J35" s="134"/>
      <c r="K35" s="134"/>
      <c r="L35" s="134"/>
    </row>
    <row r="36" spans="2:12" ht="15.45" x14ac:dyDescent="0.4">
      <c r="B36" s="138" t="s">
        <v>78</v>
      </c>
      <c r="C36" s="134"/>
      <c r="D36" s="134"/>
      <c r="E36" s="134"/>
      <c r="H36" s="139" t="s">
        <v>165</v>
      </c>
      <c r="I36" s="142"/>
      <c r="J36" s="140">
        <v>4283</v>
      </c>
      <c r="K36" s="142"/>
      <c r="L36" s="140">
        <v>4618</v>
      </c>
    </row>
    <row r="37" spans="2:12" ht="15.45" x14ac:dyDescent="0.4">
      <c r="B37" s="138" t="s">
        <v>79</v>
      </c>
      <c r="C37" s="134"/>
      <c r="D37" s="134"/>
      <c r="E37" s="134"/>
      <c r="H37" s="139" t="s">
        <v>166</v>
      </c>
      <c r="I37" s="142"/>
      <c r="J37" s="140">
        <v>2912</v>
      </c>
      <c r="K37" s="142"/>
      <c r="L37" s="140">
        <v>23381</v>
      </c>
    </row>
    <row r="38" spans="2:12" ht="15.45" x14ac:dyDescent="0.4">
      <c r="B38" s="139" t="s">
        <v>80</v>
      </c>
      <c r="C38" s="140">
        <v>122509</v>
      </c>
      <c r="D38" s="140">
        <v>134648</v>
      </c>
      <c r="E38" s="140">
        <v>1408739</v>
      </c>
    </row>
    <row r="39" spans="2:12" ht="15.45" x14ac:dyDescent="0.4">
      <c r="B39" s="139" t="s">
        <v>81</v>
      </c>
      <c r="C39" s="141">
        <v>505304</v>
      </c>
      <c r="D39" s="141">
        <v>507568</v>
      </c>
      <c r="E39" s="141">
        <v>442009</v>
      </c>
    </row>
    <row r="40" spans="2:12" ht="15.45" x14ac:dyDescent="0.4">
      <c r="B40" s="143" t="s">
        <v>114</v>
      </c>
      <c r="C40" s="144">
        <v>221932</v>
      </c>
      <c r="D40" s="144">
        <v>161108</v>
      </c>
      <c r="E40" s="144">
        <v>202957</v>
      </c>
      <c r="F40" s="148"/>
      <c r="G40" s="149">
        <f>SUM(D40:D41,D44,D46:D47)-SUM(D51:D52,D54:D55)</f>
        <v>92435</v>
      </c>
    </row>
    <row r="41" spans="2:12" ht="15.45" x14ac:dyDescent="0.4">
      <c r="B41" s="143" t="s">
        <v>83</v>
      </c>
      <c r="C41" s="144">
        <v>39607</v>
      </c>
      <c r="D41" s="144">
        <v>43623</v>
      </c>
      <c r="E41" s="144">
        <v>52711</v>
      </c>
    </row>
    <row r="42" spans="2:12" ht="15.45" x14ac:dyDescent="0.4">
      <c r="B42" s="139" t="s">
        <v>84</v>
      </c>
      <c r="C42" s="141">
        <v>889352</v>
      </c>
      <c r="D42" s="141">
        <v>846947</v>
      </c>
      <c r="E42" s="141">
        <v>2106416</v>
      </c>
    </row>
    <row r="43" spans="2:12" ht="15.45" x14ac:dyDescent="0.4">
      <c r="B43" s="139" t="s">
        <v>85</v>
      </c>
      <c r="C43" s="141">
        <v>81512</v>
      </c>
      <c r="D43" s="141">
        <v>83031</v>
      </c>
      <c r="E43" s="141">
        <v>84612</v>
      </c>
    </row>
    <row r="44" spans="2:12" ht="15.45" x14ac:dyDescent="0.4">
      <c r="B44" s="143" t="s">
        <v>86</v>
      </c>
      <c r="C44" s="144">
        <v>145203</v>
      </c>
      <c r="D44" s="144">
        <v>160802</v>
      </c>
      <c r="E44" s="144">
        <v>153618</v>
      </c>
    </row>
    <row r="45" spans="2:12" ht="15.45" x14ac:dyDescent="0.4">
      <c r="B45" s="145" t="s">
        <v>87</v>
      </c>
      <c r="C45" s="146">
        <v>14071</v>
      </c>
      <c r="D45" s="146">
        <v>13728</v>
      </c>
      <c r="E45" s="146">
        <v>15364</v>
      </c>
    </row>
    <row r="46" spans="2:12" ht="15.45" x14ac:dyDescent="0.4">
      <c r="B46" s="143" t="s">
        <v>88</v>
      </c>
      <c r="C46" s="144">
        <v>11724</v>
      </c>
      <c r="D46" s="144">
        <v>25724</v>
      </c>
      <c r="E46" s="144">
        <v>23315</v>
      </c>
    </row>
    <row r="47" spans="2:12" ht="15.45" x14ac:dyDescent="0.4">
      <c r="B47" s="143" t="s">
        <v>89</v>
      </c>
      <c r="C47" s="144">
        <v>10869</v>
      </c>
      <c r="D47" s="144">
        <v>11008</v>
      </c>
      <c r="E47" s="144">
        <v>3851</v>
      </c>
    </row>
    <row r="48" spans="2:12" ht="15.45" x14ac:dyDescent="0.4">
      <c r="B48" s="139" t="s">
        <v>90</v>
      </c>
      <c r="C48" s="140">
        <v>1152731</v>
      </c>
      <c r="D48" s="140">
        <v>1141240</v>
      </c>
      <c r="E48" s="140">
        <v>2387176</v>
      </c>
    </row>
    <row r="49" spans="2:5" ht="15.45" x14ac:dyDescent="0.4">
      <c r="B49" s="138" t="s">
        <v>91</v>
      </c>
      <c r="C49" s="134"/>
      <c r="D49" s="134"/>
      <c r="E49" s="134"/>
    </row>
    <row r="50" spans="2:5" ht="15.45" x14ac:dyDescent="0.4">
      <c r="B50" s="138" t="s">
        <v>92</v>
      </c>
      <c r="C50" s="134"/>
      <c r="D50" s="134"/>
      <c r="E50" s="134"/>
    </row>
    <row r="51" spans="2:5" ht="15.45" x14ac:dyDescent="0.4">
      <c r="B51" s="143" t="s">
        <v>93</v>
      </c>
      <c r="C51" s="147">
        <v>22169</v>
      </c>
      <c r="D51" s="147">
        <v>30320</v>
      </c>
      <c r="E51" s="147">
        <v>30524</v>
      </c>
    </row>
    <row r="52" spans="2:5" ht="15.45" x14ac:dyDescent="0.4">
      <c r="B52" s="143" t="s">
        <v>94</v>
      </c>
      <c r="C52" s="144">
        <v>86258</v>
      </c>
      <c r="D52" s="144">
        <v>93206</v>
      </c>
      <c r="E52" s="144">
        <v>109373</v>
      </c>
    </row>
    <row r="53" spans="2:5" ht="15.45" x14ac:dyDescent="0.4">
      <c r="B53" s="139" t="s">
        <v>95</v>
      </c>
      <c r="C53" s="141">
        <v>108427</v>
      </c>
      <c r="D53" s="141">
        <v>123526</v>
      </c>
      <c r="E53" s="141">
        <v>139897</v>
      </c>
    </row>
    <row r="54" spans="2:5" ht="15.45" x14ac:dyDescent="0.4">
      <c r="B54" s="143" t="s">
        <v>96</v>
      </c>
      <c r="C54" s="144">
        <v>151395</v>
      </c>
      <c r="D54" s="144">
        <v>162359</v>
      </c>
      <c r="E54" s="144">
        <v>155847</v>
      </c>
    </row>
    <row r="55" spans="2:5" ht="15.45" x14ac:dyDescent="0.4">
      <c r="B55" s="143" t="s">
        <v>97</v>
      </c>
      <c r="C55" s="144">
        <v>22073</v>
      </c>
      <c r="D55" s="144">
        <v>23945</v>
      </c>
      <c r="E55" s="144">
        <v>18192</v>
      </c>
    </row>
    <row r="56" spans="2:5" ht="15.45" x14ac:dyDescent="0.4">
      <c r="B56" s="139" t="s">
        <v>98</v>
      </c>
      <c r="C56" s="141">
        <v>281895</v>
      </c>
      <c r="D56" s="141">
        <v>309830</v>
      </c>
      <c r="E56" s="141">
        <v>313936</v>
      </c>
    </row>
    <row r="57" spans="2:5" ht="15.45" x14ac:dyDescent="0.4">
      <c r="B57" s="138" t="s">
        <v>99</v>
      </c>
      <c r="C57" s="134"/>
      <c r="D57" s="134"/>
      <c r="E57" s="134"/>
    </row>
    <row r="58" spans="2:5" ht="15.45" x14ac:dyDescent="0.4">
      <c r="B58" s="139" t="s">
        <v>115</v>
      </c>
      <c r="C58" s="141">
        <v>1465399</v>
      </c>
      <c r="D58" s="141">
        <v>1465399</v>
      </c>
      <c r="E58" s="141">
        <v>0</v>
      </c>
    </row>
    <row r="59" spans="2:5" ht="15.45" x14ac:dyDescent="0.4">
      <c r="B59" s="138" t="s">
        <v>101</v>
      </c>
      <c r="C59" s="134"/>
      <c r="D59" s="134"/>
      <c r="E59" s="134"/>
    </row>
    <row r="60" spans="2:5" ht="15.45" x14ac:dyDescent="0.4">
      <c r="B60" s="139" t="s">
        <v>116</v>
      </c>
      <c r="C60" s="141">
        <v>1</v>
      </c>
      <c r="D60" s="141">
        <v>1</v>
      </c>
      <c r="E60" s="141">
        <v>0</v>
      </c>
    </row>
    <row r="61" spans="2:5" ht="15.45" x14ac:dyDescent="0.4">
      <c r="B61" s="139" t="s">
        <v>117</v>
      </c>
      <c r="C61" s="141">
        <v>0</v>
      </c>
      <c r="D61" s="142"/>
      <c r="E61" s="141">
        <v>5</v>
      </c>
    </row>
    <row r="62" spans="2:5" ht="15.45" x14ac:dyDescent="0.4">
      <c r="B62" s="139" t="s">
        <v>103</v>
      </c>
      <c r="C62" s="141">
        <v>252212</v>
      </c>
      <c r="D62" s="141">
        <v>253016</v>
      </c>
      <c r="E62" s="141">
        <v>4118988</v>
      </c>
    </row>
    <row r="63" spans="2:5" ht="15.45" x14ac:dyDescent="0.4">
      <c r="B63" s="139" t="s">
        <v>104</v>
      </c>
      <c r="C63" s="141">
        <v>-1421</v>
      </c>
      <c r="D63" s="141">
        <v>-231</v>
      </c>
      <c r="E63" s="141">
        <v>523</v>
      </c>
    </row>
    <row r="64" spans="2:5" ht="15.45" x14ac:dyDescent="0.4">
      <c r="B64" s="139" t="s">
        <v>105</v>
      </c>
      <c r="C64" s="141">
        <v>-845355</v>
      </c>
      <c r="D64" s="141">
        <v>-886775</v>
      </c>
      <c r="E64" s="141">
        <v>-2046276</v>
      </c>
    </row>
    <row r="65" spans="2:5" ht="15.45" x14ac:dyDescent="0.4">
      <c r="B65" s="139" t="s">
        <v>106</v>
      </c>
      <c r="C65" s="141">
        <v>-594563</v>
      </c>
      <c r="D65" s="141">
        <v>-633989</v>
      </c>
      <c r="E65" s="141">
        <v>2073240</v>
      </c>
    </row>
    <row r="66" spans="2:5" ht="15.45" x14ac:dyDescent="0.4">
      <c r="B66" s="139" t="s">
        <v>107</v>
      </c>
      <c r="C66" s="140">
        <v>1152731</v>
      </c>
      <c r="D66" s="140">
        <v>1141240</v>
      </c>
      <c r="E66" s="140">
        <v>2387176</v>
      </c>
    </row>
  </sheetData>
  <phoneticPr fontId="2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A5A85-6F2E-4DE0-8043-658DED195321}">
  <dimension ref="B15"/>
  <sheetViews>
    <sheetView showGridLines="0" workbookViewId="0">
      <selection activeCell="B17" sqref="B17"/>
    </sheetView>
  </sheetViews>
  <sheetFormatPr defaultRowHeight="14.6" x14ac:dyDescent="0.4"/>
  <cols>
    <col min="1" max="16384" width="8.6640625" style="103"/>
  </cols>
  <sheetData>
    <row r="15" spans="2:2" x14ac:dyDescent="0.4">
      <c r="B15" s="103" t="s">
        <v>250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ASM &amp; Model</vt:lpstr>
      <vt:lpstr>Projection Visualization</vt:lpstr>
      <vt:lpstr>Valuation</vt:lpstr>
      <vt:lpstr>Data</vt:lpstr>
      <vt:lpstr>Comps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ChinKai Yeh</dc:creator>
  <cp:lastModifiedBy>ChinKai Yeh</cp:lastModifiedBy>
  <dcterms:created xsi:type="dcterms:W3CDTF">2015-06-05T18:19:34Z</dcterms:created>
  <dcterms:modified xsi:type="dcterms:W3CDTF">2019-10-19T15:35:16Z</dcterms:modified>
</cp:coreProperties>
</file>